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dcross1se.sharepoint.com/sites/avd_int/Dokument/INT Stab/Sustainability Platform/SP on Rednet/Pages/Elearning on rednet/"/>
    </mc:Choice>
  </mc:AlternateContent>
  <xr:revisionPtr revIDLastSave="0" documentId="8_{803AFA6F-3966-4F79-AA2E-A05CE1BF455B}" xr6:coauthVersionLast="47" xr6:coauthVersionMax="47" xr10:uidLastSave="{00000000-0000-0000-0000-000000000000}"/>
  <bookViews>
    <workbookView xWindow="-110" yWindow="-110" windowWidth="19420" windowHeight="10420" xr2:uid="{4F8A9680-5780-45BE-AC26-E9C44A9892B7}"/>
  </bookViews>
  <sheets>
    <sheet name="2022" sheetId="21" r:id="rId1"/>
    <sheet name="Consolidated budget 1" sheetId="16" state="hidden" r:id="rId2"/>
    <sheet name="Budget division" sheetId="17" state="hidden" r:id="rId3"/>
  </sheets>
  <definedNames>
    <definedName name="MasterActivity" localSheetId="1">#REF!</definedName>
    <definedName name="MasterActivity">#REF!</definedName>
    <definedName name="_xlnm.Print_Area" localSheetId="0">'2022'!$A$1:$E$65</definedName>
    <definedName name="_xlnm.Print_Area" localSheetId="1">'Consolidated budget 1'!$A$1:$O$262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5" i="21" l="1"/>
  <c r="E52" i="21"/>
  <c r="C53" i="21"/>
  <c r="E47" i="21"/>
  <c r="E22" i="21"/>
  <c r="E21" i="21"/>
  <c r="E20" i="21"/>
  <c r="E23" i="21" s="1"/>
  <c r="E17" i="21"/>
  <c r="E16" i="21"/>
  <c r="E15" i="21"/>
  <c r="E14" i="21"/>
  <c r="E18" i="21" l="1"/>
  <c r="E24" i="21" s="1"/>
  <c r="C30" i="21" l="1"/>
  <c r="E30" i="21" s="1"/>
  <c r="C62" i="21"/>
  <c r="E62" i="21" s="1"/>
  <c r="E61" i="21"/>
  <c r="E60" i="21"/>
  <c r="E59" i="21"/>
  <c r="E58" i="21"/>
  <c r="E48" i="21"/>
  <c r="E49" i="21" s="1"/>
  <c r="E44" i="21"/>
  <c r="E43" i="21"/>
  <c r="E42" i="21"/>
  <c r="E41" i="21"/>
  <c r="C38" i="21"/>
  <c r="E38" i="21" s="1"/>
  <c r="E37" i="21"/>
  <c r="E36" i="21"/>
  <c r="E35" i="21"/>
  <c r="E29" i="21"/>
  <c r="E28" i="21"/>
  <c r="C27" i="21"/>
  <c r="E27" i="21" s="1"/>
  <c r="D8" i="21"/>
  <c r="E8" i="21" s="1"/>
  <c r="E7" i="21"/>
  <c r="E9" i="21" s="1"/>
  <c r="E4" i="21"/>
  <c r="E3" i="21"/>
  <c r="H228" i="16"/>
  <c r="J228" i="16" s="1"/>
  <c r="M228" i="16" s="1"/>
  <c r="H227" i="16"/>
  <c r="J227" i="16" s="1"/>
  <c r="M227" i="16" s="1"/>
  <c r="H223" i="16"/>
  <c r="H224" i="16"/>
  <c r="J224" i="16" s="1"/>
  <c r="M224" i="16" s="1"/>
  <c r="H225" i="16"/>
  <c r="J225" i="16" s="1"/>
  <c r="M225" i="16" s="1"/>
  <c r="H254" i="16"/>
  <c r="J254" i="16" s="1"/>
  <c r="M254" i="16" s="1"/>
  <c r="H255" i="16"/>
  <c r="J255" i="16" s="1"/>
  <c r="M255" i="16" s="1"/>
  <c r="H256" i="16"/>
  <c r="J256" i="16" s="1"/>
  <c r="M256" i="16" s="1"/>
  <c r="H257" i="16"/>
  <c r="J257" i="16" s="1"/>
  <c r="M257" i="16" s="1"/>
  <c r="G222" i="16"/>
  <c r="O222" i="16"/>
  <c r="N222" i="16"/>
  <c r="L222" i="16"/>
  <c r="K222" i="16"/>
  <c r="K230" i="16" s="1"/>
  <c r="I222" i="16"/>
  <c r="F29" i="16"/>
  <c r="H29" i="16" s="1"/>
  <c r="E159" i="16"/>
  <c r="H102" i="16"/>
  <c r="H27" i="16"/>
  <c r="H26" i="16"/>
  <c r="A3" i="17"/>
  <c r="H235" i="16"/>
  <c r="J235" i="16" s="1"/>
  <c r="M235" i="16" s="1"/>
  <c r="H242" i="16"/>
  <c r="J242" i="16" s="1"/>
  <c r="M242" i="16" s="1"/>
  <c r="H191" i="16"/>
  <c r="J191" i="16" s="1"/>
  <c r="M191" i="16" s="1"/>
  <c r="H190" i="16"/>
  <c r="J190" i="16" s="1"/>
  <c r="M190" i="16" s="1"/>
  <c r="E252" i="16"/>
  <c r="E186" i="16"/>
  <c r="H258" i="16"/>
  <c r="J258" i="16" s="1"/>
  <c r="M258" i="16" s="1"/>
  <c r="H161" i="16"/>
  <c r="J161" i="16" s="1"/>
  <c r="M161" i="16" s="1"/>
  <c r="H162" i="16"/>
  <c r="J162" i="16" s="1"/>
  <c r="M162" i="16" s="1"/>
  <c r="H163" i="16"/>
  <c r="J163" i="16" s="1"/>
  <c r="M163" i="16" s="1"/>
  <c r="H164" i="16"/>
  <c r="J164" i="16" s="1"/>
  <c r="M164" i="16" s="1"/>
  <c r="H165" i="16"/>
  <c r="J165" i="16" s="1"/>
  <c r="M165" i="16" s="1"/>
  <c r="H166" i="16"/>
  <c r="J166" i="16" s="1"/>
  <c r="M166" i="16" s="1"/>
  <c r="H167" i="16"/>
  <c r="J167" i="16" s="1"/>
  <c r="M167" i="16" s="1"/>
  <c r="H168" i="16"/>
  <c r="J168" i="16" s="1"/>
  <c r="M168" i="16" s="1"/>
  <c r="H192" i="16"/>
  <c r="J192" i="16" s="1"/>
  <c r="M192" i="16" s="1"/>
  <c r="H189" i="16"/>
  <c r="H204" i="16"/>
  <c r="J204" i="16" s="1"/>
  <c r="M204" i="16" s="1"/>
  <c r="H203" i="16"/>
  <c r="J203" i="16" s="1"/>
  <c r="M203" i="16" s="1"/>
  <c r="E63" i="21" l="1"/>
  <c r="E39" i="21"/>
  <c r="E45" i="21"/>
  <c r="E31" i="21"/>
  <c r="E5" i="21"/>
  <c r="E10" i="21" s="1"/>
  <c r="J223" i="16"/>
  <c r="M223" i="16" s="1"/>
  <c r="J29" i="16"/>
  <c r="M29" i="16" s="1"/>
  <c r="H188" i="16"/>
  <c r="J189" i="16"/>
  <c r="M189" i="16" s="1"/>
  <c r="E50" i="21" l="1"/>
  <c r="E177" i="16"/>
  <c r="E176" i="16"/>
  <c r="H159" i="16"/>
  <c r="J159" i="16" s="1"/>
  <c r="E160" i="16"/>
  <c r="H160" i="16" s="1"/>
  <c r="J160" i="16" s="1"/>
  <c r="E158" i="16"/>
  <c r="H158" i="16" s="1"/>
  <c r="J158" i="16" s="1"/>
  <c r="E157" i="16"/>
  <c r="H157" i="16" s="1"/>
  <c r="J157" i="16" s="1"/>
  <c r="E156" i="16"/>
  <c r="H156" i="16" s="1"/>
  <c r="H251" i="16"/>
  <c r="H260" i="16"/>
  <c r="J260" i="16" s="1"/>
  <c r="M260" i="16" s="1"/>
  <c r="H259" i="16"/>
  <c r="J259" i="16" s="1"/>
  <c r="M259" i="16" s="1"/>
  <c r="F261" i="16"/>
  <c r="H261" i="16" s="1"/>
  <c r="J261" i="16" s="1"/>
  <c r="M261" i="16" s="1"/>
  <c r="H226" i="16"/>
  <c r="H222" i="16" s="1"/>
  <c r="N136" i="16"/>
  <c r="N148" i="16" s="1"/>
  <c r="L136" i="16"/>
  <c r="L148" i="16" s="1"/>
  <c r="K136" i="16"/>
  <c r="H146" i="16"/>
  <c r="J146" i="16" s="1"/>
  <c r="M146" i="16" s="1"/>
  <c r="H145" i="16"/>
  <c r="J145" i="16" s="1"/>
  <c r="M145" i="16" s="1"/>
  <c r="H144" i="16"/>
  <c r="J144" i="16" s="1"/>
  <c r="M144" i="16" s="1"/>
  <c r="H143" i="16"/>
  <c r="J143" i="16" s="1"/>
  <c r="M143" i="16" s="1"/>
  <c r="H142" i="16"/>
  <c r="J142" i="16" s="1"/>
  <c r="M142" i="16" s="1"/>
  <c r="H141" i="16"/>
  <c r="J141" i="16" s="1"/>
  <c r="M141" i="16" s="1"/>
  <c r="H140" i="16"/>
  <c r="J140" i="16" s="1"/>
  <c r="M140" i="16" s="1"/>
  <c r="H139" i="16"/>
  <c r="J139" i="16" s="1"/>
  <c r="M139" i="16" s="1"/>
  <c r="H138" i="16"/>
  <c r="J138" i="16" s="1"/>
  <c r="M138" i="16" s="1"/>
  <c r="H137" i="16"/>
  <c r="J5" i="16"/>
  <c r="H130" i="16"/>
  <c r="J130" i="16" s="1"/>
  <c r="M130" i="16" s="1"/>
  <c r="H129" i="16"/>
  <c r="J129" i="16" s="1"/>
  <c r="H128" i="16"/>
  <c r="J128" i="16" s="1"/>
  <c r="M128" i="16" s="1"/>
  <c r="H127" i="16"/>
  <c r="J127" i="16" s="1"/>
  <c r="M127" i="16" s="1"/>
  <c r="H126" i="16"/>
  <c r="J126" i="16" s="1"/>
  <c r="M126" i="16" s="1"/>
  <c r="H125" i="16"/>
  <c r="J125" i="16" s="1"/>
  <c r="M125" i="16" s="1"/>
  <c r="H124" i="16"/>
  <c r="J124" i="16" s="1"/>
  <c r="M124" i="16" s="1"/>
  <c r="H123" i="16"/>
  <c r="J123" i="16" s="1"/>
  <c r="M123" i="16" s="1"/>
  <c r="H112" i="16"/>
  <c r="J112" i="16" s="1"/>
  <c r="M112" i="16" s="1"/>
  <c r="H111" i="16"/>
  <c r="J111" i="16" s="1"/>
  <c r="M111" i="16" s="1"/>
  <c r="H104" i="16"/>
  <c r="J104" i="16" s="1"/>
  <c r="H103" i="16"/>
  <c r="J103" i="16" s="1"/>
  <c r="J102" i="16"/>
  <c r="M102" i="16" s="1"/>
  <c r="H101" i="16"/>
  <c r="J101" i="16" s="1"/>
  <c r="M101" i="16" s="1"/>
  <c r="H100" i="16"/>
  <c r="J100" i="16" s="1"/>
  <c r="M100" i="16" s="1"/>
  <c r="H99" i="16"/>
  <c r="J99" i="16" s="1"/>
  <c r="M99" i="16" s="1"/>
  <c r="H98" i="16"/>
  <c r="J98" i="16" s="1"/>
  <c r="M98" i="16" s="1"/>
  <c r="H97" i="16"/>
  <c r="J97" i="16" s="1"/>
  <c r="M97" i="16" s="1"/>
  <c r="H86" i="16"/>
  <c r="J86" i="16" s="1"/>
  <c r="M86" i="16" s="1"/>
  <c r="H85" i="16"/>
  <c r="J85" i="16" s="1"/>
  <c r="H78" i="16"/>
  <c r="J78" i="16" s="1"/>
  <c r="H77" i="16"/>
  <c r="J77" i="16" s="1"/>
  <c r="M77" i="16" s="1"/>
  <c r="H76" i="16"/>
  <c r="J76" i="16" s="1"/>
  <c r="M76" i="16" s="1"/>
  <c r="H75" i="16"/>
  <c r="J75" i="16" s="1"/>
  <c r="M75" i="16" s="1"/>
  <c r="H74" i="16"/>
  <c r="J74" i="16" s="1"/>
  <c r="M74" i="16" s="1"/>
  <c r="H73" i="16"/>
  <c r="J73" i="16" s="1"/>
  <c r="M73" i="16" s="1"/>
  <c r="H66" i="16"/>
  <c r="J66" i="16" s="1"/>
  <c r="M66" i="16" s="1"/>
  <c r="H65" i="16"/>
  <c r="J65" i="16" s="1"/>
  <c r="M65" i="16" s="1"/>
  <c r="H64" i="16"/>
  <c r="J64" i="16" s="1"/>
  <c r="M64" i="16" s="1"/>
  <c r="H63" i="16"/>
  <c r="J63" i="16" s="1"/>
  <c r="M63" i="16" s="1"/>
  <c r="H62" i="16"/>
  <c r="H55" i="16"/>
  <c r="J55" i="16" s="1"/>
  <c r="M55" i="16" s="1"/>
  <c r="H54" i="16"/>
  <c r="J54" i="16" s="1"/>
  <c r="M54" i="16" s="1"/>
  <c r="H53" i="16"/>
  <c r="J53" i="16" s="1"/>
  <c r="M53" i="16" s="1"/>
  <c r="H52" i="16"/>
  <c r="J52" i="16" s="1"/>
  <c r="M52" i="16" s="1"/>
  <c r="H51" i="16"/>
  <c r="J51" i="16" s="1"/>
  <c r="M51" i="16" s="1"/>
  <c r="Q147" i="16"/>
  <c r="I136" i="16"/>
  <c r="I148" i="16" s="1"/>
  <c r="Q135" i="16"/>
  <c r="Q134" i="16"/>
  <c r="Q133" i="16"/>
  <c r="Q131" i="16"/>
  <c r="N122" i="16"/>
  <c r="N132" i="16" s="1"/>
  <c r="L122" i="16"/>
  <c r="L132" i="16" s="1"/>
  <c r="I122" i="16"/>
  <c r="I132" i="16" s="1"/>
  <c r="Q121" i="16"/>
  <c r="Q120" i="16"/>
  <c r="Q119" i="16"/>
  <c r="Q118" i="16"/>
  <c r="Q113" i="16"/>
  <c r="K111" i="16"/>
  <c r="G110" i="16"/>
  <c r="G114" i="16" s="1"/>
  <c r="N110" i="16"/>
  <c r="N114" i="16" s="1"/>
  <c r="L110" i="16"/>
  <c r="L114" i="16" s="1"/>
  <c r="I110" i="16"/>
  <c r="I114" i="16" s="1"/>
  <c r="Q109" i="16"/>
  <c r="Q108" i="16"/>
  <c r="Q107" i="16"/>
  <c r="Q105" i="16"/>
  <c r="N96" i="16"/>
  <c r="N106" i="16" s="1"/>
  <c r="L96" i="16"/>
  <c r="L106" i="16" s="1"/>
  <c r="I96" i="16"/>
  <c r="I106" i="16" s="1"/>
  <c r="Q95" i="16"/>
  <c r="Q94" i="16"/>
  <c r="Q93" i="16"/>
  <c r="Q92" i="16"/>
  <c r="Q89" i="16"/>
  <c r="Q87" i="16"/>
  <c r="K84" i="16"/>
  <c r="K88" i="16" s="1"/>
  <c r="N84" i="16"/>
  <c r="N88" i="16" s="1"/>
  <c r="L84" i="16"/>
  <c r="L88" i="16" s="1"/>
  <c r="I84" i="16"/>
  <c r="I88" i="16" s="1"/>
  <c r="Q83" i="16"/>
  <c r="Q82" i="16"/>
  <c r="Q79" i="16"/>
  <c r="N72" i="16"/>
  <c r="N80" i="16" s="1"/>
  <c r="L72" i="16"/>
  <c r="L80" i="16" s="1"/>
  <c r="I72" i="16"/>
  <c r="I80" i="16" s="1"/>
  <c r="Q71" i="16"/>
  <c r="Q70" i="16"/>
  <c r="P33" i="16"/>
  <c r="P35" i="16"/>
  <c r="P36" i="16"/>
  <c r="P37" i="16"/>
  <c r="P41" i="16"/>
  <c r="P43" i="16"/>
  <c r="P45" i="16"/>
  <c r="F40" i="16"/>
  <c r="F39" i="16"/>
  <c r="J30" i="16"/>
  <c r="M30" i="16" s="1"/>
  <c r="J28" i="16"/>
  <c r="J27" i="16"/>
  <c r="M27" i="16" s="1"/>
  <c r="J26" i="16"/>
  <c r="H30" i="16"/>
  <c r="H28" i="16"/>
  <c r="F32" i="16"/>
  <c r="H32" i="16" s="1"/>
  <c r="F31" i="16"/>
  <c r="J186" i="16"/>
  <c r="I150" i="16" l="1"/>
  <c r="L150" i="16"/>
  <c r="N150" i="16"/>
  <c r="J31" i="16"/>
  <c r="M31" i="16" s="1"/>
  <c r="P31" i="16" s="1"/>
  <c r="H31" i="16"/>
  <c r="H25" i="16" s="1"/>
  <c r="J39" i="16"/>
  <c r="M39" i="16" s="1"/>
  <c r="P39" i="16" s="1"/>
  <c r="H39" i="16"/>
  <c r="J40" i="16"/>
  <c r="M40" i="16" s="1"/>
  <c r="P40" i="16" s="1"/>
  <c r="H40" i="16"/>
  <c r="H186" i="16"/>
  <c r="J251" i="16"/>
  <c r="H230" i="16"/>
  <c r="J226" i="16"/>
  <c r="J222" i="16" s="1"/>
  <c r="J156" i="16"/>
  <c r="H155" i="16"/>
  <c r="H61" i="16"/>
  <c r="H136" i="16"/>
  <c r="H148" i="16" s="1"/>
  <c r="J137" i="16"/>
  <c r="M137" i="16" s="1"/>
  <c r="M136" i="16" s="1"/>
  <c r="M148" i="16" s="1"/>
  <c r="H72" i="16"/>
  <c r="H80" i="16" s="1"/>
  <c r="J62" i="16"/>
  <c r="M62" i="16" s="1"/>
  <c r="M61" i="16" s="1"/>
  <c r="M104" i="16"/>
  <c r="Q104" i="16" s="1"/>
  <c r="M129" i="16"/>
  <c r="M122" i="16" s="1"/>
  <c r="M132" i="16" s="1"/>
  <c r="M85" i="16"/>
  <c r="Q85" i="16" s="1"/>
  <c r="M78" i="16"/>
  <c r="M72" i="16" s="1"/>
  <c r="M80" i="16" s="1"/>
  <c r="M103" i="16"/>
  <c r="Q103" i="16" s="1"/>
  <c r="Q145" i="16"/>
  <c r="K148" i="16"/>
  <c r="Q130" i="16"/>
  <c r="Q123" i="16"/>
  <c r="H122" i="16"/>
  <c r="H132" i="16" s="1"/>
  <c r="M110" i="16"/>
  <c r="M114" i="16" s="1"/>
  <c r="H110" i="16"/>
  <c r="H114" i="16" s="1"/>
  <c r="H96" i="16"/>
  <c r="H106" i="16" s="1"/>
  <c r="H84" i="16"/>
  <c r="H88" i="16" s="1"/>
  <c r="Q77" i="16"/>
  <c r="M50" i="16"/>
  <c r="G136" i="16"/>
  <c r="G148" i="16" s="1"/>
  <c r="K122" i="16"/>
  <c r="K132" i="16" s="1"/>
  <c r="G122" i="16"/>
  <c r="G132" i="16" s="1"/>
  <c r="J122" i="16"/>
  <c r="G96" i="16"/>
  <c r="G106" i="16" s="1"/>
  <c r="G116" i="16" s="1"/>
  <c r="K96" i="16"/>
  <c r="K106" i="16" s="1"/>
  <c r="L116" i="16"/>
  <c r="I116" i="16"/>
  <c r="N116" i="16"/>
  <c r="K110" i="16"/>
  <c r="K114" i="16" s="1"/>
  <c r="J96" i="16"/>
  <c r="Q97" i="16"/>
  <c r="G84" i="16"/>
  <c r="G88" i="16" s="1"/>
  <c r="J84" i="16"/>
  <c r="J88" i="16" s="1"/>
  <c r="K72" i="16"/>
  <c r="K80" i="16" s="1"/>
  <c r="G72" i="16"/>
  <c r="G80" i="16" s="1"/>
  <c r="Q73" i="16"/>
  <c r="J72" i="16"/>
  <c r="J80" i="16" s="1"/>
  <c r="M26" i="16"/>
  <c r="P26" i="16" s="1"/>
  <c r="P30" i="16"/>
  <c r="J32" i="16"/>
  <c r="P27" i="16"/>
  <c r="M28" i="16"/>
  <c r="P28" i="16" s="1"/>
  <c r="J176" i="16"/>
  <c r="H176" i="16" s="1"/>
  <c r="J177" i="16"/>
  <c r="H177" i="16" s="1"/>
  <c r="J269" i="16"/>
  <c r="H269" i="16" s="1"/>
  <c r="H268" i="16" s="1"/>
  <c r="H286" i="16" s="1"/>
  <c r="E262" i="16"/>
  <c r="H262" i="16" s="1"/>
  <c r="I250" i="16"/>
  <c r="J200" i="16"/>
  <c r="M200" i="16" s="1"/>
  <c r="J199" i="16"/>
  <c r="M199" i="16" s="1"/>
  <c r="I175" i="16"/>
  <c r="B3" i="17"/>
  <c r="B5" i="17"/>
  <c r="B2" i="17"/>
  <c r="A4" i="17"/>
  <c r="B7" i="17" l="1"/>
  <c r="B8" i="17" s="1"/>
  <c r="M150" i="16"/>
  <c r="H150" i="16"/>
  <c r="K150" i="16"/>
  <c r="M251" i="16"/>
  <c r="J25" i="16"/>
  <c r="J34" i="16" s="1"/>
  <c r="B4" i="17"/>
  <c r="B6" i="17" s="1"/>
  <c r="H185" i="16"/>
  <c r="H194" i="16" s="1"/>
  <c r="M226" i="16"/>
  <c r="M222" i="16" s="1"/>
  <c r="J230" i="16"/>
  <c r="J136" i="16"/>
  <c r="Q136" i="16" s="1"/>
  <c r="J262" i="16"/>
  <c r="M262" i="16" s="1"/>
  <c r="M84" i="16"/>
  <c r="M88" i="16" s="1"/>
  <c r="Q88" i="16" s="1"/>
  <c r="M96" i="16"/>
  <c r="M106" i="16" s="1"/>
  <c r="M116" i="16" s="1"/>
  <c r="Q78" i="16"/>
  <c r="Q129" i="16"/>
  <c r="H116" i="16"/>
  <c r="G150" i="16"/>
  <c r="J132" i="16"/>
  <c r="Q132" i="16" s="1"/>
  <c r="Q122" i="16"/>
  <c r="K116" i="16"/>
  <c r="J106" i="16"/>
  <c r="J110" i="16"/>
  <c r="Q111" i="16"/>
  <c r="Q80" i="16"/>
  <c r="Q72" i="16"/>
  <c r="H34" i="16"/>
  <c r="M32" i="16"/>
  <c r="P32" i="16" s="1"/>
  <c r="M269" i="16"/>
  <c r="H199" i="16"/>
  <c r="M186" i="16"/>
  <c r="M185" i="16" s="1"/>
  <c r="M176" i="16"/>
  <c r="M177" i="16"/>
  <c r="H200" i="16"/>
  <c r="A7" i="17"/>
  <c r="A8" i="17" s="1"/>
  <c r="A6" i="17" s="1"/>
  <c r="E253" i="16"/>
  <c r="J253" i="16" s="1"/>
  <c r="J252" i="16"/>
  <c r="H252" i="16" s="1"/>
  <c r="H175" i="16"/>
  <c r="K242" i="16"/>
  <c r="N241" i="16"/>
  <c r="M241" i="16"/>
  <c r="M244" i="16" s="1"/>
  <c r="L241" i="16"/>
  <c r="I241" i="16"/>
  <c r="I244" i="16" s="1"/>
  <c r="Q240" i="16"/>
  <c r="Q239" i="16"/>
  <c r="J276" i="16"/>
  <c r="J277" i="16"/>
  <c r="J278" i="16"/>
  <c r="J275" i="16"/>
  <c r="H279" i="16"/>
  <c r="G279" i="16"/>
  <c r="I155" i="16"/>
  <c r="L155" i="16"/>
  <c r="N155" i="16"/>
  <c r="H38" i="16"/>
  <c r="H42" i="16" s="1"/>
  <c r="I38" i="16"/>
  <c r="I42" i="16" s="1"/>
  <c r="L38" i="16"/>
  <c r="L42" i="16" s="1"/>
  <c r="M38" i="16"/>
  <c r="M42" i="16" s="1"/>
  <c r="N38" i="16"/>
  <c r="N42" i="16" s="1"/>
  <c r="K279" i="16"/>
  <c r="I279" i="16"/>
  <c r="O246" i="16"/>
  <c r="I234" i="16"/>
  <c r="I237" i="16" s="1"/>
  <c r="H234" i="16"/>
  <c r="H237" i="16" s="1"/>
  <c r="I230" i="16"/>
  <c r="G216" i="16"/>
  <c r="J216" i="16" s="1"/>
  <c r="Q216" i="16" s="1"/>
  <c r="G215" i="16"/>
  <c r="J215" i="16" s="1"/>
  <c r="I214" i="16"/>
  <c r="H214" i="16"/>
  <c r="G212" i="16"/>
  <c r="J212" i="16" s="1"/>
  <c r="G211" i="16"/>
  <c r="J211" i="16" s="1"/>
  <c r="I210" i="16"/>
  <c r="H210" i="16"/>
  <c r="Q204" i="16"/>
  <c r="I202" i="16"/>
  <c r="H202" i="16"/>
  <c r="Q200" i="16"/>
  <c r="Q233" i="16"/>
  <c r="Q232" i="16"/>
  <c r="Q221" i="16"/>
  <c r="Q220" i="16"/>
  <c r="Q247" i="16"/>
  <c r="Q229" i="16"/>
  <c r="Q217" i="16"/>
  <c r="N214" i="16"/>
  <c r="M214" i="16"/>
  <c r="L214" i="16"/>
  <c r="Q205" i="16"/>
  <c r="N202" i="16"/>
  <c r="M202" i="16"/>
  <c r="L202" i="16"/>
  <c r="N234" i="16"/>
  <c r="M234" i="16"/>
  <c r="M237" i="16" s="1"/>
  <c r="L234" i="16"/>
  <c r="L237" i="16" s="1"/>
  <c r="Q272" i="16"/>
  <c r="Q213" i="16"/>
  <c r="Q40" i="16"/>
  <c r="Q39" i="16"/>
  <c r="Q192" i="16"/>
  <c r="Q189" i="16"/>
  <c r="G173" i="16"/>
  <c r="J173" i="16" s="1"/>
  <c r="G172" i="16"/>
  <c r="J172" i="16" s="1"/>
  <c r="G171" i="16"/>
  <c r="J171" i="16" s="1"/>
  <c r="I188" i="16"/>
  <c r="H170" i="16"/>
  <c r="I170" i="16"/>
  <c r="M160" i="16"/>
  <c r="M159" i="16"/>
  <c r="M158" i="16"/>
  <c r="M157" i="16"/>
  <c r="M156" i="16"/>
  <c r="Q66" i="16"/>
  <c r="Q62" i="16"/>
  <c r="H68" i="16"/>
  <c r="I61" i="16"/>
  <c r="I68" i="16" s="1"/>
  <c r="H50" i="16"/>
  <c r="H57" i="16" s="1"/>
  <c r="I50" i="16"/>
  <c r="I57" i="16" s="1"/>
  <c r="Q55" i="16"/>
  <c r="Q51" i="16"/>
  <c r="I25" i="16"/>
  <c r="I34" i="16" s="1"/>
  <c r="L25" i="16"/>
  <c r="L34" i="16" s="1"/>
  <c r="N25" i="16"/>
  <c r="N34" i="16" s="1"/>
  <c r="Q20" i="16"/>
  <c r="Q21" i="16"/>
  <c r="Q22" i="16"/>
  <c r="Q23" i="16"/>
  <c r="Q24" i="16"/>
  <c r="Q33" i="16"/>
  <c r="Q35" i="16"/>
  <c r="Q36" i="16"/>
  <c r="Q37" i="16"/>
  <c r="Q41" i="16"/>
  <c r="Q43" i="16"/>
  <c r="Q45" i="16"/>
  <c r="Q46" i="16"/>
  <c r="Q47" i="16"/>
  <c r="Q48" i="16"/>
  <c r="Q49" i="16"/>
  <c r="L50" i="16"/>
  <c r="L57" i="16" s="1"/>
  <c r="M57" i="16"/>
  <c r="N50" i="16"/>
  <c r="N57" i="16" s="1"/>
  <c r="Q56" i="16"/>
  <c r="Q58" i="16"/>
  <c r="Q59" i="16"/>
  <c r="Q60" i="16"/>
  <c r="L61" i="16"/>
  <c r="L68" i="16" s="1"/>
  <c r="M68" i="16"/>
  <c r="N61" i="16"/>
  <c r="N68" i="16" s="1"/>
  <c r="Q67" i="16"/>
  <c r="Q81" i="16"/>
  <c r="Q117" i="16"/>
  <c r="Q152" i="16"/>
  <c r="Q153" i="16"/>
  <c r="Q154" i="16"/>
  <c r="L170" i="16"/>
  <c r="M170" i="16"/>
  <c r="N170" i="16"/>
  <c r="L175" i="16"/>
  <c r="N175" i="16"/>
  <c r="Q181" i="16"/>
  <c r="Q182" i="16"/>
  <c r="Q183" i="16"/>
  <c r="Q184" i="16"/>
  <c r="L185" i="16"/>
  <c r="N185" i="16"/>
  <c r="Q187" i="16"/>
  <c r="L188" i="16"/>
  <c r="M188" i="16"/>
  <c r="N188" i="16"/>
  <c r="Q193" i="16"/>
  <c r="Q195" i="16"/>
  <c r="Q196" i="16"/>
  <c r="Q197" i="16"/>
  <c r="L198" i="16"/>
  <c r="N198" i="16"/>
  <c r="Q201" i="16"/>
  <c r="Q207" i="16"/>
  <c r="Q208" i="16"/>
  <c r="Q209" i="16"/>
  <c r="L210" i="16"/>
  <c r="M210" i="16"/>
  <c r="N210" i="16"/>
  <c r="Q219" i="16"/>
  <c r="L230" i="16"/>
  <c r="N230" i="16"/>
  <c r="Q231" i="16"/>
  <c r="Q248" i="16"/>
  <c r="Q249" i="16"/>
  <c r="L250" i="16"/>
  <c r="L264" i="16" s="1"/>
  <c r="L14" i="16" s="1"/>
  <c r="N250" i="16"/>
  <c r="N264" i="16" s="1"/>
  <c r="N14" i="16" s="1"/>
  <c r="Q265" i="16"/>
  <c r="Q266" i="16"/>
  <c r="L268" i="16"/>
  <c r="N268" i="16"/>
  <c r="N271" i="16" s="1"/>
  <c r="L179" i="16" l="1"/>
  <c r="H179" i="16"/>
  <c r="H12" i="16" s="1"/>
  <c r="I179" i="16"/>
  <c r="I12" i="16" s="1"/>
  <c r="N179" i="16"/>
  <c r="J250" i="16"/>
  <c r="J264" i="16" s="1"/>
  <c r="M230" i="16"/>
  <c r="A10" i="17"/>
  <c r="H198" i="16"/>
  <c r="H206" i="16" s="1"/>
  <c r="M155" i="16"/>
  <c r="J148" i="16"/>
  <c r="J150" i="16" s="1"/>
  <c r="Q32" i="16"/>
  <c r="Q84" i="16"/>
  <c r="Q96" i="16"/>
  <c r="M90" i="16"/>
  <c r="Q106" i="16"/>
  <c r="H90" i="16"/>
  <c r="Q110" i="16"/>
  <c r="J114" i="16"/>
  <c r="M218" i="16"/>
  <c r="H44" i="16"/>
  <c r="M25" i="16"/>
  <c r="P25" i="16" s="1"/>
  <c r="L244" i="16"/>
  <c r="K241" i="16"/>
  <c r="K244" i="16" s="1"/>
  <c r="G241" i="16"/>
  <c r="G244" i="16" s="1"/>
  <c r="L218" i="16"/>
  <c r="M252" i="16"/>
  <c r="H253" i="16"/>
  <c r="H250" i="16" s="1"/>
  <c r="M253" i="16"/>
  <c r="N218" i="16"/>
  <c r="I185" i="16"/>
  <c r="I194" i="16" s="1"/>
  <c r="N244" i="16"/>
  <c r="J279" i="16"/>
  <c r="J241" i="16"/>
  <c r="Q242" i="16"/>
  <c r="L206" i="16"/>
  <c r="J155" i="16"/>
  <c r="N206" i="16"/>
  <c r="G234" i="16"/>
  <c r="G237" i="16" s="1"/>
  <c r="J38" i="16"/>
  <c r="G38" i="16"/>
  <c r="G42" i="16" s="1"/>
  <c r="M198" i="16"/>
  <c r="M206" i="16" s="1"/>
  <c r="J214" i="16"/>
  <c r="Q214" i="16" s="1"/>
  <c r="J210" i="16"/>
  <c r="Q210" i="16" s="1"/>
  <c r="J202" i="16"/>
  <c r="Q202" i="16" s="1"/>
  <c r="J198" i="16"/>
  <c r="J234" i="16"/>
  <c r="J237" i="16" s="1"/>
  <c r="G230" i="16"/>
  <c r="Q211" i="16"/>
  <c r="G202" i="16"/>
  <c r="G210" i="16"/>
  <c r="G214" i="16"/>
  <c r="H218" i="16"/>
  <c r="G198" i="16"/>
  <c r="I218" i="16"/>
  <c r="Q235" i="16"/>
  <c r="Q215" i="16"/>
  <c r="N237" i="16"/>
  <c r="Q203" i="16"/>
  <c r="G188" i="16"/>
  <c r="G50" i="16"/>
  <c r="G57" i="16" s="1"/>
  <c r="I44" i="16"/>
  <c r="G25" i="16"/>
  <c r="G34" i="16" s="1"/>
  <c r="G170" i="16"/>
  <c r="J185" i="16"/>
  <c r="G250" i="16"/>
  <c r="G264" i="16" s="1"/>
  <c r="G14" i="16" s="1"/>
  <c r="G61" i="16"/>
  <c r="G68" i="16" s="1"/>
  <c r="G185" i="16"/>
  <c r="L271" i="16"/>
  <c r="N15" i="16"/>
  <c r="G155" i="16"/>
  <c r="L194" i="16"/>
  <c r="J50" i="16"/>
  <c r="L12" i="16"/>
  <c r="J61" i="16"/>
  <c r="J175" i="16"/>
  <c r="J287" i="16" s="1"/>
  <c r="N12" i="16"/>
  <c r="J188" i="16"/>
  <c r="Q188" i="16" s="1"/>
  <c r="N194" i="16"/>
  <c r="J170" i="16"/>
  <c r="Q170" i="16" s="1"/>
  <c r="Q65" i="16"/>
  <c r="Q54" i="16"/>
  <c r="H11" i="16" l="1"/>
  <c r="G179" i="16"/>
  <c r="G12" i="16" s="1"/>
  <c r="J179" i="16"/>
  <c r="J12" i="16" s="1"/>
  <c r="Q148" i="16"/>
  <c r="Q150" i="16"/>
  <c r="J14" i="16"/>
  <c r="Q241" i="16"/>
  <c r="J244" i="16"/>
  <c r="Q244" i="16" s="1"/>
  <c r="H287" i="16"/>
  <c r="Q61" i="16"/>
  <c r="J68" i="16"/>
  <c r="J116" i="16"/>
  <c r="Q116" i="16" s="1"/>
  <c r="Q114" i="16"/>
  <c r="Q50" i="16"/>
  <c r="J57" i="16"/>
  <c r="Q57" i="16" s="1"/>
  <c r="M34" i="16"/>
  <c r="P34" i="16" s="1"/>
  <c r="Q38" i="16"/>
  <c r="J42" i="16"/>
  <c r="P38" i="16"/>
  <c r="Q25" i="16"/>
  <c r="M250" i="16"/>
  <c r="Q199" i="16"/>
  <c r="I198" i="16"/>
  <c r="I206" i="16" s="1"/>
  <c r="I246" i="16" s="1"/>
  <c r="I264" i="16"/>
  <c r="I14" i="16" s="1"/>
  <c r="H264" i="16"/>
  <c r="H14" i="16" s="1"/>
  <c r="N246" i="16"/>
  <c r="N13" i="16" s="1"/>
  <c r="L246" i="16"/>
  <c r="L13" i="16" s="1"/>
  <c r="K215" i="16"/>
  <c r="J218" i="16"/>
  <c r="Q218" i="16" s="1"/>
  <c r="K235" i="16"/>
  <c r="K234" i="16" s="1"/>
  <c r="K237" i="16" s="1"/>
  <c r="K192" i="16"/>
  <c r="K173" i="16"/>
  <c r="K216" i="16"/>
  <c r="K40" i="16"/>
  <c r="J206" i="16"/>
  <c r="Q206" i="16" s="1"/>
  <c r="K212" i="16"/>
  <c r="K203" i="16"/>
  <c r="K172" i="16"/>
  <c r="K189" i="16"/>
  <c r="K55" i="16"/>
  <c r="K177" i="16"/>
  <c r="K198" i="16"/>
  <c r="K54" i="16"/>
  <c r="K186" i="16"/>
  <c r="K176" i="16"/>
  <c r="K51" i="16"/>
  <c r="K39" i="16"/>
  <c r="K211" i="16"/>
  <c r="K171" i="16"/>
  <c r="K204" i="16"/>
  <c r="G218" i="16"/>
  <c r="G206" i="16"/>
  <c r="Q234" i="16"/>
  <c r="G194" i="16"/>
  <c r="I90" i="16"/>
  <c r="I11" i="16" s="1"/>
  <c r="L15" i="16"/>
  <c r="N90" i="16"/>
  <c r="N44" i="16"/>
  <c r="L90" i="16"/>
  <c r="L44" i="16"/>
  <c r="L11" i="16" s="1"/>
  <c r="J194" i="16"/>
  <c r="Q155" i="16"/>
  <c r="Q198" i="16"/>
  <c r="Q222" i="16"/>
  <c r="L16" i="16" l="1"/>
  <c r="J246" i="16"/>
  <c r="J90" i="16"/>
  <c r="Q90" i="16" s="1"/>
  <c r="M44" i="16"/>
  <c r="M11" i="16" s="1"/>
  <c r="P42" i="16"/>
  <c r="Q42" i="16"/>
  <c r="M264" i="16"/>
  <c r="M14" i="16" s="1"/>
  <c r="Q186" i="16"/>
  <c r="M175" i="16"/>
  <c r="M179" i="16" s="1"/>
  <c r="Q250" i="16"/>
  <c r="G246" i="16"/>
  <c r="K185" i="16"/>
  <c r="K214" i="16"/>
  <c r="K202" i="16"/>
  <c r="K206" i="16" s="1"/>
  <c r="K25" i="16"/>
  <c r="K34" i="16" s="1"/>
  <c r="K188" i="16"/>
  <c r="Q237" i="16"/>
  <c r="K175" i="16"/>
  <c r="G44" i="16"/>
  <c r="K170" i="16"/>
  <c r="K61" i="16"/>
  <c r="K68" i="16" s="1"/>
  <c r="K38" i="16"/>
  <c r="K42" i="16" s="1"/>
  <c r="K210" i="16"/>
  <c r="K50" i="16"/>
  <c r="K57" i="16" s="1"/>
  <c r="K250" i="16"/>
  <c r="K264" i="16" s="1"/>
  <c r="K14" i="16" s="1"/>
  <c r="K155" i="16"/>
  <c r="N273" i="16"/>
  <c r="L273" i="16"/>
  <c r="I13" i="16"/>
  <c r="G90" i="16"/>
  <c r="N11" i="16"/>
  <c r="Q68" i="16"/>
  <c r="Q230" i="16"/>
  <c r="Q34" i="16"/>
  <c r="J44" i="16"/>
  <c r="J11" i="16" s="1"/>
  <c r="K179" i="16" l="1"/>
  <c r="K12" i="16" s="1"/>
  <c r="M12" i="16"/>
  <c r="P44" i="16"/>
  <c r="K90" i="16"/>
  <c r="Q264" i="16"/>
  <c r="M194" i="16"/>
  <c r="M246" i="16" s="1"/>
  <c r="Q185" i="16"/>
  <c r="Q175" i="16"/>
  <c r="K218" i="16"/>
  <c r="K194" i="16"/>
  <c r="K44" i="16"/>
  <c r="G13" i="16"/>
  <c r="J13" i="16"/>
  <c r="G11" i="16"/>
  <c r="N16" i="16"/>
  <c r="N274" i="16" s="1"/>
  <c r="L274" i="16"/>
  <c r="Q44" i="16"/>
  <c r="K11" i="16" l="1"/>
  <c r="Q179" i="16"/>
  <c r="K246" i="16"/>
  <c r="K13" i="16" s="1"/>
  <c r="Q194" i="16"/>
  <c r="M268" i="16"/>
  <c r="M271" i="16" s="1"/>
  <c r="M15" i="16" s="1"/>
  <c r="J268" i="16"/>
  <c r="G268" i="16"/>
  <c r="G271" i="16" s="1"/>
  <c r="H271" i="16"/>
  <c r="J271" i="16" l="1"/>
  <c r="J273" i="16" s="1"/>
  <c r="J286" i="16"/>
  <c r="M13" i="16"/>
  <c r="M16" i="16" s="1"/>
  <c r="M273" i="16"/>
  <c r="M281" i="16" s="1"/>
  <c r="K17" i="16"/>
  <c r="L17" i="16" s="1"/>
  <c r="Q246" i="16"/>
  <c r="Q268" i="16"/>
  <c r="I268" i="16"/>
  <c r="I271" i="16" s="1"/>
  <c r="K268" i="16"/>
  <c r="K271" i="16" s="1"/>
  <c r="H15" i="16"/>
  <c r="G15" i="16"/>
  <c r="G16" i="16" s="1"/>
  <c r="G273" i="16"/>
  <c r="G281" i="16" s="1"/>
  <c r="Q273" i="16" l="1"/>
  <c r="J15" i="16"/>
  <c r="Q271" i="16"/>
  <c r="M274" i="16"/>
  <c r="K15" i="16"/>
  <c r="K16" i="16" s="1"/>
  <c r="K18" i="16" s="1"/>
  <c r="K273" i="16"/>
  <c r="G274" i="16"/>
  <c r="I15" i="16"/>
  <c r="I16" i="16" s="1"/>
  <c r="I18" i="16" s="1"/>
  <c r="I273" i="16"/>
  <c r="J288" i="16" l="1"/>
  <c r="J289" i="16" s="1"/>
  <c r="J281" i="16"/>
  <c r="J16" i="16"/>
  <c r="J18" i="16" s="1"/>
  <c r="K281" i="16"/>
  <c r="K274" i="16"/>
  <c r="K282" i="16"/>
  <c r="I281" i="16"/>
  <c r="I274" i="16"/>
  <c r="J274" i="16" l="1"/>
  <c r="E53" i="21" l="1"/>
  <c r="E54" i="21" s="1"/>
  <c r="E55" i="21" s="1"/>
  <c r="H241" i="16"/>
  <c r="H13" i="16"/>
  <c r="H16" i="16"/>
  <c r="H18" i="16"/>
  <c r="H289" i="16"/>
  <c r="H288" i="16"/>
  <c r="H274" i="16"/>
  <c r="H241" i="16" a="1"/>
  <c r="H244" i="16"/>
  <c r="H246" i="16"/>
  <c r="H273" i="16"/>
  <c r="H281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Eric Sandstedt</author>
  </authors>
  <commentList>
    <comment ref="J6" authorId="0" shapeId="0" xr:uid="{81584A8B-FD66-454E-9823-852253FD898D}">
      <text>
        <r>
          <rPr>
            <b/>
            <sz val="9"/>
            <color indexed="81"/>
            <rFont val="Tahoma"/>
            <family val="2"/>
          </rPr>
          <t>Eric Sandstedt:</t>
        </r>
        <r>
          <rPr>
            <sz val="9"/>
            <color indexed="81"/>
            <rFont val="Tahoma"/>
            <family val="2"/>
          </rPr>
          <t xml:space="preserve">
30 day average as per Oanda.com</t>
        </r>
      </text>
    </comment>
    <comment ref="K6" authorId="0" shapeId="0" xr:uid="{D80B4DD9-4849-491F-BCB1-81DC1202C7BD}">
      <text>
        <r>
          <rPr>
            <b/>
            <sz val="9"/>
            <color indexed="81"/>
            <rFont val="Tahoma"/>
            <family val="2"/>
          </rPr>
          <t>Eric Sandstedt:</t>
        </r>
        <r>
          <rPr>
            <sz val="9"/>
            <color indexed="81"/>
            <rFont val="Tahoma"/>
            <family val="2"/>
          </rPr>
          <t xml:space="preserve">
Actual payment in SEK/ Revived amount in Local Currency.</t>
        </r>
      </text>
    </comment>
  </commentList>
</comments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<sst xmlns="http://schemas.openxmlformats.org/spreadsheetml/2006/main" count="551" uniqueCount="280">
  <si>
    <t xml:space="preserve">Outcome 1 Communities in high-risk areas are prepared for and able to respond to disasters </t>
  </si>
  <si>
    <t>Output 1.1 Communities take active steps to mitigate and prepare for disasters</t>
  </si>
  <si>
    <t>Activities 1.1.1 - 1.1.7</t>
  </si>
  <si>
    <t>1.1.1 Building of dikes in flood prone areas</t>
  </si>
  <si>
    <t>work</t>
  </si>
  <si>
    <t>1.1.2 Procurement of digging tools</t>
  </si>
  <si>
    <t>item</t>
  </si>
  <si>
    <t>1.1.3 Opening of water channels</t>
  </si>
  <si>
    <t>training</t>
  </si>
  <si>
    <t>activity</t>
  </si>
  <si>
    <t>cash</t>
  </si>
  <si>
    <t>Subtotal output 1.1</t>
  </si>
  <si>
    <t>Output 1. 2  Livelihoods are protected and negative coping strategies reduced among affected populations/households</t>
  </si>
  <si>
    <t xml:space="preserve">Activities 1.2.1-1.2.2 </t>
  </si>
  <si>
    <t xml:space="preserve">1.2.1 Procurement and distribution of seeds and tools for kitchen gardening(400 households per location) </t>
  </si>
  <si>
    <t>1.2.2 Cash programming targeting 840 households  (including assessment, PDS and service cost)</t>
  </si>
  <si>
    <t>Subtotal output 1.2</t>
  </si>
  <si>
    <t>Total Outcome 1</t>
  </si>
  <si>
    <t xml:space="preserve">Outcome 2 Community members have access to drinking water, sanitation facilities and basic hygiene information </t>
  </si>
  <si>
    <t>Output 2.1 Increased access to safe drinking water in the communities</t>
  </si>
  <si>
    <t>Activity 2.1.1 - 2.1.5</t>
  </si>
  <si>
    <t xml:space="preserve">2.1.1 Conduct water point assessment in 2 locations </t>
  </si>
  <si>
    <t xml:space="preserve">2.1.2 Procure spare parts, tools and local materials for hand pump repair (2) </t>
  </si>
  <si>
    <t xml:space="preserve">2.1.3 Repair/rehabilitate 10 (5 per location) hand pumps. </t>
  </si>
  <si>
    <t xml:space="preserve">2.1.4 Train 10 (5 per location) hand pump mechanics  </t>
  </si>
  <si>
    <t xml:space="preserve">2.1.5 Train 20 (10 per location) water management committee </t>
  </si>
  <si>
    <t>Subtotal output 2.1</t>
  </si>
  <si>
    <t>Output 2.2  Access to improved sanitation increased in communities and schools</t>
  </si>
  <si>
    <t>Activity 2.2.1 - 2.2.5</t>
  </si>
  <si>
    <t xml:space="preserve">2.2.1 Procure 6 sets (3 per locations) of pit digging tools and latrine construction tools </t>
  </si>
  <si>
    <t>kit</t>
  </si>
  <si>
    <t xml:space="preserve">2.2.2 Train 20 sanitation artisans (10 per location) </t>
  </si>
  <si>
    <t xml:space="preserve">2.2.3 Construct 20 (10 per location) demonstration latrines using locally available materials </t>
  </si>
  <si>
    <t xml:space="preserve">2.2.4 Support construction of 400 (200 per location) household latrine construction </t>
  </si>
  <si>
    <t>2.2.5 Constructions of schools latrines</t>
  </si>
  <si>
    <t>Subtotal output 2.2</t>
  </si>
  <si>
    <t>Output 2.3  Promotion of hygienic pracites in the communities and schools</t>
  </si>
  <si>
    <t>Activity 2.3.1 - 2.3.6</t>
  </si>
  <si>
    <t>2.3.1 Training of female teachers on MHM</t>
  </si>
  <si>
    <t>2.3.2 Train 10 teachers and 10 volunteers on CHAST</t>
  </si>
  <si>
    <t>2.3.3 Train 20 volunteers (10 per location) on hygiene promotion</t>
  </si>
  <si>
    <t>2.3.4 Conduct clean up campaigns on quarterly basis in each location</t>
  </si>
  <si>
    <t>2.3.5 Participate in global days (World water day, handwashing day and world toilet day)</t>
  </si>
  <si>
    <t xml:space="preserve">2.3.6 Conduct hygiene promotion session in the communities and Schools </t>
  </si>
  <si>
    <t>Subtotal output 2.3</t>
  </si>
  <si>
    <t>Output 2.4  Improve WASH Capacity in Emergency Response</t>
  </si>
  <si>
    <t>Activity 2.4.1 - 2.4.2</t>
  </si>
  <si>
    <t>2.4.1 Procure WASH NFIs</t>
  </si>
  <si>
    <t>2.4.2 Respond to WASH Emergencies</t>
  </si>
  <si>
    <t>Subtotal output 2.4</t>
  </si>
  <si>
    <t>Total Outcome 2</t>
  </si>
  <si>
    <t>Activity 3.1.1 - 3.1.8</t>
  </si>
  <si>
    <t>Subtotal output 3.1</t>
  </si>
  <si>
    <t>Subtotal output 3.2</t>
  </si>
  <si>
    <t>Total Outcome 3</t>
  </si>
  <si>
    <t xml:space="preserve">Salaries </t>
  </si>
  <si>
    <t>HQ Watsan coordinator (25%)</t>
  </si>
  <si>
    <t>Monthly (25% of an FTE)</t>
  </si>
  <si>
    <t>HQ PMER Coordinator  (25%)</t>
  </si>
  <si>
    <t>HQ PSS coordinator  (25%)</t>
  </si>
  <si>
    <t>HQ DM officer / project coordinator  (50%)</t>
  </si>
  <si>
    <t>Monthly (50% of an FTE)</t>
  </si>
  <si>
    <t>HQ Shared office and service cost head count</t>
  </si>
  <si>
    <t>Monthly (5*25% of an FTE)</t>
  </si>
  <si>
    <t>Branch Project coordinator with DM background (100%)</t>
  </si>
  <si>
    <t>Monthly (100% of an FTE)</t>
  </si>
  <si>
    <t>Branch Health officer  (100%)</t>
  </si>
  <si>
    <t>Branch WASH officer (100%)</t>
  </si>
  <si>
    <t>Branch Protection officer (100%)</t>
  </si>
  <si>
    <t>Branch Finance and admins officer (100%)</t>
  </si>
  <si>
    <t>Branch Security guards (100%)</t>
  </si>
  <si>
    <t>Branch Cleaners (100%)</t>
  </si>
  <si>
    <t>Branch Driver (100%)</t>
  </si>
  <si>
    <t>Country Representative</t>
  </si>
  <si>
    <t>Monthly (30% of an FTE)</t>
  </si>
  <si>
    <t>PGI Delegate</t>
  </si>
  <si>
    <t>Total Salaries</t>
  </si>
  <si>
    <t>Sustainability Platform</t>
  </si>
  <si>
    <t>Monitoring</t>
  </si>
  <si>
    <t>Monitoring and Follow-up activity 2</t>
  </si>
  <si>
    <t>Internal baseline/KAP survey E84</t>
  </si>
  <si>
    <t>per survey</t>
  </si>
  <si>
    <t>Distribution and monitoring</t>
  </si>
  <si>
    <t xml:space="preserve">Travel include field monitoring </t>
  </si>
  <si>
    <t>Endline/KAP survey</t>
  </si>
  <si>
    <t>Audit of partner</t>
  </si>
  <si>
    <t>per audit</t>
  </si>
  <si>
    <t>Subtotal Monitoring</t>
  </si>
  <si>
    <t xml:space="preserve">Evaluation </t>
  </si>
  <si>
    <t>Project review meeting</t>
  </si>
  <si>
    <t>Activity</t>
  </si>
  <si>
    <t>Stakeholders inception workshop</t>
  </si>
  <si>
    <t xml:space="preserve">Final project evaluation </t>
  </si>
  <si>
    <t>Month</t>
  </si>
  <si>
    <t>Trip (5 days)</t>
  </si>
  <si>
    <t xml:space="preserve">Subtotal Evaluation </t>
  </si>
  <si>
    <t>Community Engagement and Accountability</t>
  </si>
  <si>
    <t xml:space="preserve">Community Engagement and Accountability </t>
  </si>
  <si>
    <t>Community Engagement and Accountability training to staff and volunteers</t>
  </si>
  <si>
    <t>Support to governance and board activities</t>
  </si>
  <si>
    <t>Community Engagement and Accountability consultative meetings (quarterly meetings)</t>
  </si>
  <si>
    <t>Project Accountability Committee formation and training</t>
  </si>
  <si>
    <t>Project Cycle Management training to staff and volunteers</t>
  </si>
  <si>
    <t>Dissemination to volunteers and youth on the policy</t>
  </si>
  <si>
    <t>Subtotal Community Engagement and Accountability</t>
  </si>
  <si>
    <t>Safety and Security of Volunteers</t>
  </si>
  <si>
    <t>Safer Access Framework Training</t>
  </si>
  <si>
    <t>Total Safety and Security of Volunteers</t>
  </si>
  <si>
    <t>Total  Sustainability Platform</t>
  </si>
  <si>
    <t xml:space="preserve">General Expenditure </t>
  </si>
  <si>
    <t>General Expenditure</t>
  </si>
  <si>
    <t>Office Costs - office and household equipment both HQ and branch</t>
  </si>
  <si>
    <t>procurement</t>
  </si>
  <si>
    <t>Storage project items</t>
  </si>
  <si>
    <t>services</t>
  </si>
  <si>
    <t>Transportation of project equipment from HQ to branch</t>
  </si>
  <si>
    <t>Office cost (stationery and office utility for both HQ project staff and branch)</t>
  </si>
  <si>
    <t>monthly</t>
  </si>
  <si>
    <t xml:space="preserve">Airtime for communications and coordination </t>
  </si>
  <si>
    <t>Vehicles and transport - maintenance of 2 vehicles and 2 motorbikes</t>
  </si>
  <si>
    <t>Vehicles and transport - renewal of insurance and logbook</t>
  </si>
  <si>
    <t>Vehicles and transport - fuel for vehicles, generator and motorbikes</t>
  </si>
  <si>
    <t>Staff Housing (This Budgetline only applies to In Country based  International Staff)</t>
  </si>
  <si>
    <t>Staff Travel (This Budgetline only applies to In Country based International Staff)</t>
  </si>
  <si>
    <t>Support Cost BRCS</t>
  </si>
  <si>
    <t>Total General Expenditure</t>
  </si>
  <si>
    <t>Annex 4.</t>
  </si>
  <si>
    <t>Country: Budget for South Sudan</t>
  </si>
  <si>
    <t>Budget prepared by:</t>
  </si>
  <si>
    <t>An.Vanderheyden@redcross.se</t>
  </si>
  <si>
    <t>Project : Addressing humanitarian needs in Upper Nile through integrated community resilience</t>
  </si>
  <si>
    <t>Date:</t>
  </si>
  <si>
    <t>Activity Based Budget: 2022</t>
  </si>
  <si>
    <t>Approved by SRC:</t>
  </si>
  <si>
    <t>gisela.holmen@redcross.se</t>
  </si>
  <si>
    <t>Partner: South Sudanese RC</t>
  </si>
  <si>
    <t>Regional Finance:</t>
  </si>
  <si>
    <t>christine.johansson@redcross.se</t>
  </si>
  <si>
    <t>Controller:</t>
  </si>
  <si>
    <t>nicolai.samuelsson@redcross.se</t>
  </si>
  <si>
    <t>SEK /SEK</t>
  </si>
  <si>
    <t>Budget timeframe</t>
  </si>
  <si>
    <t>Activity based budget to match the log frame and annual activity schedule</t>
  </si>
  <si>
    <t>Reporting timeframe</t>
  </si>
  <si>
    <t>ONLY BUDGET, NOT FOR AUDIT PURPOSES</t>
  </si>
  <si>
    <t>CODE 1</t>
  </si>
  <si>
    <t>CODE 2</t>
  </si>
  <si>
    <t xml:space="preserve">Unit </t>
  </si>
  <si>
    <t xml:space="preserve">Unit Cost </t>
  </si>
  <si>
    <t xml:space="preserve">Quantity </t>
  </si>
  <si>
    <t>Revised Budget USD</t>
  </si>
  <si>
    <t>Agreed BDG USD</t>
  </si>
  <si>
    <t>Actual USD</t>
  </si>
  <si>
    <t>Total Budget (SEK)</t>
  </si>
  <si>
    <t>Total Actual (SEK)</t>
  </si>
  <si>
    <t>SRC CONTRIBUTION</t>
  </si>
  <si>
    <t>SIDA CONTRIBUTION</t>
  </si>
  <si>
    <t>PARTNER CONTRIBUTION</t>
  </si>
  <si>
    <t>COMMENT</t>
  </si>
  <si>
    <t>Partner</t>
  </si>
  <si>
    <t>SRC</t>
  </si>
  <si>
    <t>1Q</t>
  </si>
  <si>
    <t>2Q</t>
  </si>
  <si>
    <t>3Q</t>
  </si>
  <si>
    <t xml:space="preserve">4Q </t>
  </si>
  <si>
    <t>Outcome</t>
  </si>
  <si>
    <t>Salaries</t>
  </si>
  <si>
    <t>M&amp;E G&amp;D CEA GR</t>
  </si>
  <si>
    <t>Indirect Cost</t>
  </si>
  <si>
    <t>Total Cost</t>
  </si>
  <si>
    <t>Income</t>
  </si>
  <si>
    <t>Expenditure</t>
  </si>
  <si>
    <t xml:space="preserve">Outcome 1 Communities in high-risk areas in the Malakal-Renk corridor are prepared for and able to respond to disasters </t>
  </si>
  <si>
    <t>SSRC</t>
  </si>
  <si>
    <t>1.1.4 Planting of trees  (@ 2 USD/tree, transport to Upper Nile locations)</t>
  </si>
  <si>
    <t>1.1.5 Formation and training Community Disaster rseponse Teams (CDRTs) INCL RENK AND MABAN</t>
  </si>
  <si>
    <t>1.1.6 Conduct CDRTs monthly meeting  for 12 months INCL RENK AND MABAN</t>
  </si>
  <si>
    <t>1.1.7 Cost recovery for Conducting monthly  community risks awareness sessions by 20 volunteers in 4 locations  INCL RENK AND MABAN</t>
  </si>
  <si>
    <t xml:space="preserve">Outcome 3 Communities are sensitized and educated on key health issues, including common diseases and nutrition </t>
  </si>
  <si>
    <t>Output 3.1 Trainings in community health strategies and screening for malnutrition</t>
  </si>
  <si>
    <t xml:space="preserve">3.1.1 Train 30 volunteers on community health strategy  </t>
  </si>
  <si>
    <t>3.1.2 Train 20 TOTs SSRC staff and volunteers on health-related topics (Boma Health Initiative)</t>
  </si>
  <si>
    <t xml:space="preserve">3.1.3 Form and train 4 mother support groups on MIYCN (10 mothers per group for kitchen gardening) </t>
  </si>
  <si>
    <t xml:space="preserve">3.1.4 Procure and Prepositioning of  4 ORT kits </t>
  </si>
  <si>
    <t xml:space="preserve">3.1.5 Conduct community sensitization and educate on key health issues (4 days per month cost recovery for 40 volunteers, 10/location) </t>
  </si>
  <si>
    <t xml:space="preserve">3.1.6 Procure and distribute 400 MUAC tape for screening children under 5 years at the selected locations  </t>
  </si>
  <si>
    <t>3.1.7 Conduct screening for malnutrition in the community (target 800 under 5 year children and 600 pregnant and lactating mothers-during sensitization)</t>
  </si>
  <si>
    <t>screening</t>
  </si>
  <si>
    <t>3.1.8 Conduct one monthly community leaders sensitization meetings on health related topics</t>
  </si>
  <si>
    <t>meeting</t>
  </si>
  <si>
    <t>Output 3.2  Training on first aid and distribution of first aid material</t>
  </si>
  <si>
    <t>Activity 3.2.1-3.2.2</t>
  </si>
  <si>
    <t xml:space="preserve">3.2.1 Replenishment of procured FA Kits </t>
  </si>
  <si>
    <t>items</t>
  </si>
  <si>
    <t>3.2.2 Procure and distribute 40 visibility materials (40 apron, 40 raincoats, 40 gumboots and 40 umbrellas)</t>
  </si>
  <si>
    <t>Outcome 4 Community capacities on PSS and SGBV are developed among SSRC volunteers to carry out PSS and SGBV activities in affected communities</t>
  </si>
  <si>
    <t>Output 4.1 Procurement of PSS materials and Trainings of staff and volunteers</t>
  </si>
  <si>
    <t>Activity 4.1.1 - 4.1.8</t>
  </si>
  <si>
    <t>4.1.1 Training of 30 volunteers and 1 staff on PSS awareness messages</t>
  </si>
  <si>
    <t>4.1.2 Staff, 9 board members and 5 volunteers trained on personal care and support policy</t>
  </si>
  <si>
    <t xml:space="preserve">4.1.3 Awareness on psychsocial support to the target communities </t>
  </si>
  <si>
    <t>4.1.4 Training 30 Volunteers and 3 Staff on community based PSS/PFA</t>
  </si>
  <si>
    <t>4.1.5 Formation and supporting monthly protection committee meetings</t>
  </si>
  <si>
    <t>4.1.6 Organise children 192 recreational activity sessions 24 per location</t>
  </si>
  <si>
    <t>4.1.7 Training of 23 selected com leaders, staff and volunteers on MPA to mitigate risks</t>
  </si>
  <si>
    <t>4.1.8 Training of 30 volunteers and 4 teachers on working with children</t>
  </si>
  <si>
    <t>Subtotal output 4.1</t>
  </si>
  <si>
    <t>Output 4.2  Training and procurement of SGBV materials</t>
  </si>
  <si>
    <t>Activity 4.2.1-4.2.10</t>
  </si>
  <si>
    <t>4.2.1 Train project staff and volunteers on SGBV components</t>
  </si>
  <si>
    <t>4.2.2 Training for community leaders on SGBV</t>
  </si>
  <si>
    <t>4.2.3 Conduct  awareness raisining to community on SGBV  (20 volunteers, 8 days a month)</t>
  </si>
  <si>
    <t>4.2.4 Conduct radio talk show on SGBV (2 per quarter)</t>
  </si>
  <si>
    <t>4.2.5 Training of police on SGBV basic guiding principles</t>
  </si>
  <si>
    <t>4.2.6 Support to the line minsitry special meetings</t>
  </si>
  <si>
    <t>4.2.7 Train teachers on SGBV prevention and response, in schools (4 schools)</t>
  </si>
  <si>
    <t>4.2.8 Organize and participate on the 16 Days of Activism Against Gender Violence Campaign</t>
  </si>
  <si>
    <t xml:space="preserve">4.2.9 Organize and Participate In the celebration of the International Women Day </t>
  </si>
  <si>
    <t>4.2.10 Diseminate referral systems</t>
  </si>
  <si>
    <t>Subtotal output 4.2</t>
  </si>
  <si>
    <t>Total Outcome 4</t>
  </si>
  <si>
    <t>SSRC Salaries (HQ and Malakal branch)</t>
  </si>
  <si>
    <t>Unit Cost = Annual Salary + Social Cost + Pension</t>
  </si>
  <si>
    <t>SRC HQ Staff Salaries (Specify all staff) (Only applies to Swedish Red Cross)</t>
  </si>
  <si>
    <t>FTE/Year</t>
  </si>
  <si>
    <t>SRC International Staff Salaries (Specify all staff)  (Only applies to Swedish Red Cross)</t>
  </si>
  <si>
    <t>Field program manager</t>
  </si>
  <si>
    <t xml:space="preserve">Monitoring and Follow-up activity 1 </t>
  </si>
  <si>
    <t xml:space="preserve">Gender and Diversity </t>
  </si>
  <si>
    <t>Gender and Diversity</t>
  </si>
  <si>
    <t>Subtotal Gender and Diversity</t>
  </si>
  <si>
    <t>Green Response</t>
  </si>
  <si>
    <t>Subtotal Green Response</t>
  </si>
  <si>
    <t>Bank and Financial charges (SSRC; HQ and Malakal)</t>
  </si>
  <si>
    <t>Support Cost SSRC</t>
  </si>
  <si>
    <t>Shared Office and Services Costs (Shared between SRC and SSRC)</t>
  </si>
  <si>
    <t>Percentage</t>
  </si>
  <si>
    <t>Total Indirect Cost</t>
  </si>
  <si>
    <t>Grand Total</t>
  </si>
  <si>
    <t>check</t>
  </si>
  <si>
    <t>Funds Transferred 1 / Funds Received 1</t>
  </si>
  <si>
    <t>Funds Transferred 2 / Funds Recevied 2</t>
  </si>
  <si>
    <t>Funds Transferred 3 / Funds Received 3</t>
  </si>
  <si>
    <t>Funds Transferred 4 / Funds Received 4</t>
  </si>
  <si>
    <t xml:space="preserve">Total Funds Received </t>
  </si>
  <si>
    <t>Balance (+ Refund/ - Cofunded)</t>
  </si>
  <si>
    <t>Exchange Rate -Loss/ +Gain</t>
  </si>
  <si>
    <t>CHECK</t>
  </si>
  <si>
    <t>Indirect costs</t>
  </si>
  <si>
    <t>SRC budget icl indirect costs</t>
  </si>
  <si>
    <t>SS RC budget</t>
  </si>
  <si>
    <t>Total</t>
  </si>
  <si>
    <t>SEK</t>
  </si>
  <si>
    <t>USD</t>
  </si>
  <si>
    <t>Budget left after 7% indirect costs</t>
  </si>
  <si>
    <t>7% Indirect costs</t>
  </si>
  <si>
    <t>SRC budgeted</t>
  </si>
  <si>
    <t>indirect costs SRC</t>
  </si>
  <si>
    <t>NS budgeted</t>
  </si>
  <si>
    <t>8% indirect costs NS</t>
  </si>
  <si>
    <t xml:space="preserve">1.2.1 Seeds and tools for kitchen gardening (400 HH per location) </t>
  </si>
  <si>
    <t>1.2.2 Cash programming targeting 840 households</t>
  </si>
  <si>
    <t>Office Costs - HQ and branch</t>
  </si>
  <si>
    <t>Communication costs</t>
  </si>
  <si>
    <t>Vehicles and transport</t>
  </si>
  <si>
    <t>International Staff costs</t>
  </si>
  <si>
    <t>Monitoring and Evaluation</t>
  </si>
  <si>
    <t>baseline and endline/KAP surveys</t>
  </si>
  <si>
    <t>Volunteer insurance policy (5% of NS costs)</t>
  </si>
  <si>
    <t>annually</t>
  </si>
  <si>
    <t xml:space="preserve">1.1.1 Formation and training Community Disaster rseponse Teams (CDRTs) </t>
  </si>
  <si>
    <t xml:space="preserve">1.1.2 Monthly community risks awareness sessions by 20 volunteers in 4 locations </t>
  </si>
  <si>
    <t xml:space="preserve">2.2.1 Procure 6 sets (3 per locations) pit latrine tools </t>
  </si>
  <si>
    <t xml:space="preserve">2.2.3 Construct 20 (10 per location) demonstration latrines </t>
  </si>
  <si>
    <t xml:space="preserve">2.2.4 Support construction of 400 (200 per location) household latrine </t>
  </si>
  <si>
    <t>Community Engagement and Accountability quarterly consultative meetings</t>
  </si>
  <si>
    <t>CO2 tonnes</t>
  </si>
  <si>
    <t>Carbon Accounting and offset of activities -  (or insetting of activities)</t>
  </si>
  <si>
    <t>Cash</t>
  </si>
  <si>
    <t>Environmental greening from recommendations of during project implementation (2%) flexible funding, can be used in anyway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</si>
</sst>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0.0"/>
    <numFmt numFmtId="167" formatCode="0.000"/>
    <numFmt numFmtId="168" formatCode="0.000000"/>
    <numFmt numFmtId="169" formatCode="_-* #,##0.000_-;\-* #,##0.000_-;_-* &quot;-&quot;??_-;_-@_-"/>
    <numFmt numFmtId="170" formatCode="_-* #,##0.0000_-;\-* #,##0.0000_-;_-* &quot;-&quot;??_-;_-@_-"/>
    <numFmt numFmtId="171" formatCode="_-* #,##0.00000_-;\-* #,##0.00000_-;_-* &quot;-&quot;??_-;_-@_-"/>
    <numFmt numFmtId="172" formatCode="_-* #,##0.000000_-;\-* #,##0.000000_-;_-* &quot;-&quot;??_-;_-@_-"/>
    <numFmt numFmtId="173" formatCode="_-* #,##0.0000000_-;\-* #,##0.0000000_-;_-* &quot;-&quot;??_-;_-@_-"/>
    <numFmt numFmtId="174" formatCode="_([$SEK]\ * #,##0_);_([$SEK]\ * \(#,##0\);_([$SEK]\ * &quot;-&quot;_);_(@_)"/>
    <numFmt numFmtId="175" formatCode="_([$USD]\ * #,##0_);_([$USD]\ * \(#,##0\);_([$USD]\ * &quot;-&quot;_);_(@_)"/>
    <numFmt numFmtId="176" formatCode="_([$USD]\ * #,##0.00_);_([$USD]\ * \(#,##0.00\);_([$USD]\ * &quot;-&quot;_);_(@_)"/>
    <numFmt numFmtId="177" formatCode="0.00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6"/>
      <color rgb="FFFF0000"/>
      <name val="Calibri"/>
      <family val="2"/>
      <scheme val="minor"/>
    </font>
    <font>
      <b/>
      <sz val="6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0" fontId="17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42">
    <xf numFmtId="0" fontId="0" fillId="0" borderId="0" xfId="0"/>
    <xf numFmtId="0" fontId="6" fillId="4" borderId="0" xfId="0" applyFont="1" applyFill="1"/>
    <xf numFmtId="165" fontId="6" fillId="4" borderId="0" xfId="2" applyNumberFormat="1" applyFont="1" applyFill="1" applyBorder="1" applyAlignment="1" applyProtection="1"/>
    <xf numFmtId="0" fontId="7" fillId="4" borderId="0" xfId="0" applyFont="1" applyFill="1"/>
    <xf numFmtId="165" fontId="8" fillId="5" borderId="3" xfId="2" applyNumberFormat="1" applyFont="1" applyFill="1" applyBorder="1" applyAlignment="1" applyProtection="1">
      <alignment horizontal="left"/>
    </xf>
    <xf numFmtId="165" fontId="8" fillId="5" borderId="2" xfId="2" applyNumberFormat="1" applyFont="1" applyFill="1" applyBorder="1" applyAlignment="1" applyProtection="1">
      <alignment horizontal="left"/>
    </xf>
    <xf numFmtId="165" fontId="8" fillId="4" borderId="0" xfId="2" applyNumberFormat="1" applyFont="1" applyFill="1" applyBorder="1" applyAlignment="1" applyProtection="1">
      <alignment horizontal="left"/>
    </xf>
    <xf numFmtId="43" fontId="8" fillId="4" borderId="0" xfId="3" applyFont="1" applyFill="1" applyBorder="1" applyAlignment="1" applyProtection="1">
      <alignment horizontal="left"/>
    </xf>
    <xf numFmtId="165" fontId="8" fillId="3" borderId="3" xfId="2" applyNumberFormat="1" applyFont="1" applyFill="1" applyBorder="1" applyAlignment="1" applyProtection="1">
      <alignment horizontal="left"/>
    </xf>
    <xf numFmtId="165" fontId="8" fillId="3" borderId="2" xfId="2" applyNumberFormat="1" applyFont="1" applyFill="1" applyBorder="1" applyAlignment="1" applyProtection="1">
      <alignment horizontal="left"/>
    </xf>
    <xf numFmtId="165" fontId="10" fillId="4" borderId="0" xfId="2" applyNumberFormat="1" applyFont="1" applyFill="1" applyBorder="1" applyAlignment="1" applyProtection="1">
      <alignment horizontal="left"/>
    </xf>
    <xf numFmtId="165" fontId="10" fillId="4" borderId="1" xfId="2" applyNumberFormat="1" applyFont="1" applyFill="1" applyBorder="1" applyAlignment="1" applyProtection="1">
      <alignment horizontal="left"/>
    </xf>
    <xf numFmtId="165" fontId="10" fillId="6" borderId="1" xfId="2" applyNumberFormat="1" applyFont="1" applyFill="1" applyBorder="1" applyAlignment="1" applyProtection="1">
      <alignment horizontal="left"/>
    </xf>
    <xf numFmtId="165" fontId="10" fillId="4" borderId="1" xfId="2" applyNumberFormat="1" applyFont="1" applyFill="1" applyBorder="1" applyAlignment="1" applyProtection="1">
      <alignment horizontal="left" vertical="center"/>
    </xf>
    <xf numFmtId="43" fontId="10" fillId="4" borderId="1" xfId="3" applyFont="1" applyFill="1" applyBorder="1" applyAlignment="1" applyProtection="1">
      <alignment horizontal="left"/>
    </xf>
    <xf numFmtId="165" fontId="8" fillId="4" borderId="1" xfId="2" applyNumberFormat="1" applyFont="1" applyFill="1" applyBorder="1" applyAlignment="1" applyProtection="1">
      <alignment horizontal="left"/>
    </xf>
    <xf numFmtId="165" fontId="8" fillId="7" borderId="1" xfId="2" applyNumberFormat="1" applyFont="1" applyFill="1" applyBorder="1" applyAlignment="1" applyProtection="1">
      <alignment horizontal="left"/>
    </xf>
    <xf numFmtId="165" fontId="10" fillId="4" borderId="0" xfId="2" applyNumberFormat="1" applyFont="1" applyFill="1" applyBorder="1" applyAlignment="1" applyProtection="1">
      <alignment horizontal="left" vertical="center"/>
    </xf>
    <xf numFmtId="43" fontId="10" fillId="4" borderId="0" xfId="3" applyFont="1" applyFill="1" applyBorder="1" applyAlignment="1" applyProtection="1">
      <alignment horizontal="left"/>
    </xf>
    <xf numFmtId="165" fontId="8" fillId="5" borderId="5" xfId="2" applyNumberFormat="1" applyFont="1" applyFill="1" applyBorder="1" applyAlignment="1" applyProtection="1">
      <alignment vertical="top"/>
    </xf>
    <xf numFmtId="165" fontId="8" fillId="5" borderId="6" xfId="2" applyNumberFormat="1" applyFont="1" applyFill="1" applyBorder="1" applyAlignment="1" applyProtection="1">
      <alignment vertical="top"/>
    </xf>
    <xf numFmtId="165" fontId="8" fillId="5" borderId="4" xfId="2" applyNumberFormat="1" applyFont="1" applyFill="1" applyBorder="1" applyAlignment="1" applyProtection="1">
      <alignment vertical="top"/>
    </xf>
    <xf numFmtId="0" fontId="8" fillId="5" borderId="6" xfId="4" applyFont="1" applyFill="1" applyBorder="1" applyAlignment="1">
      <alignment vertical="top"/>
    </xf>
    <xf numFmtId="0" fontId="8" fillId="5" borderId="4" xfId="4" applyFont="1" applyFill="1" applyBorder="1" applyAlignment="1">
      <alignment vertical="top"/>
    </xf>
    <xf numFmtId="165" fontId="12" fillId="4" borderId="0" xfId="2" applyNumberFormat="1" applyFont="1" applyFill="1" applyBorder="1" applyAlignment="1" applyProtection="1">
      <alignment horizontal="left"/>
    </xf>
    <xf numFmtId="43" fontId="12" fillId="4" borderId="0" xfId="3" applyFont="1" applyFill="1" applyBorder="1" applyAlignment="1" applyProtection="1">
      <alignment horizontal="left"/>
    </xf>
    <xf numFmtId="0" fontId="10" fillId="4" borderId="0" xfId="0" applyFont="1" applyFill="1"/>
    <xf numFmtId="165" fontId="8" fillId="4" borderId="0" xfId="2" applyNumberFormat="1" applyFont="1" applyFill="1" applyBorder="1" applyAlignment="1" applyProtection="1"/>
    <xf numFmtId="165" fontId="8" fillId="4" borderId="0" xfId="2" applyNumberFormat="1" applyFont="1" applyFill="1" applyBorder="1" applyAlignment="1" applyProtection="1">
      <alignment horizontal="left" vertical="center"/>
    </xf>
    <xf numFmtId="165" fontId="6" fillId="4" borderId="0" xfId="2" applyNumberFormat="1" applyFont="1" applyFill="1" applyBorder="1" applyAlignment="1" applyProtection="1">
      <alignment horizontal="left" vertical="center"/>
    </xf>
    <xf numFmtId="43" fontId="6" fillId="4" borderId="0" xfId="3" applyFont="1" applyFill="1" applyBorder="1" applyAlignment="1" applyProtection="1">
      <alignment horizontal="left"/>
    </xf>
    <xf numFmtId="165" fontId="6" fillId="4" borderId="1" xfId="2" applyNumberFormat="1" applyFont="1" applyFill="1" applyBorder="1" applyAlignment="1" applyProtection="1"/>
    <xf numFmtId="165" fontId="6" fillId="4" borderId="1" xfId="2" applyNumberFormat="1" applyFont="1" applyFill="1" applyBorder="1" applyAlignment="1" applyProtection="1">
      <alignment horizontal="left" vertical="center"/>
    </xf>
    <xf numFmtId="43" fontId="6" fillId="4" borderId="1" xfId="3" applyFont="1" applyFill="1" applyBorder="1" applyAlignment="1" applyProtection="1">
      <alignment horizontal="left"/>
    </xf>
    <xf numFmtId="165" fontId="7" fillId="4" borderId="1" xfId="2" applyNumberFormat="1" applyFont="1" applyFill="1" applyBorder="1" applyAlignment="1" applyProtection="1">
      <alignment horizontal="left"/>
    </xf>
    <xf numFmtId="165" fontId="7" fillId="4" borderId="0" xfId="2" applyNumberFormat="1" applyFont="1" applyFill="1" applyBorder="1" applyAlignment="1" applyProtection="1">
      <alignment horizontal="left"/>
    </xf>
    <xf numFmtId="165" fontId="7" fillId="7" borderId="1" xfId="2" applyNumberFormat="1" applyFont="1" applyFill="1" applyBorder="1" applyAlignment="1" applyProtection="1">
      <alignment horizontal="left"/>
    </xf>
    <xf numFmtId="165" fontId="6" fillId="4" borderId="0" xfId="2" applyNumberFormat="1" applyFont="1" applyFill="1" applyBorder="1" applyAlignment="1" applyProtection="1">
      <alignment horizontal="left"/>
    </xf>
    <xf numFmtId="43" fontId="7" fillId="4" borderId="0" xfId="3" applyFont="1" applyFill="1" applyBorder="1" applyAlignment="1" applyProtection="1">
      <alignment horizontal="left"/>
    </xf>
    <xf numFmtId="165" fontId="7" fillId="3" borderId="5" xfId="2" applyNumberFormat="1" applyFont="1" applyFill="1" applyBorder="1" applyAlignment="1" applyProtection="1"/>
    <xf numFmtId="165" fontId="7" fillId="3" borderId="6" xfId="2" applyNumberFormat="1" applyFont="1" applyFill="1" applyBorder="1" applyAlignment="1" applyProtection="1"/>
    <xf numFmtId="165" fontId="7" fillId="3" borderId="4" xfId="2" applyNumberFormat="1" applyFont="1" applyFill="1" applyBorder="1" applyAlignment="1" applyProtection="1"/>
    <xf numFmtId="165" fontId="7" fillId="4" borderId="0" xfId="2" applyNumberFormat="1" applyFont="1" applyFill="1" applyBorder="1" applyAlignment="1" applyProtection="1"/>
    <xf numFmtId="0" fontId="7" fillId="3" borderId="6" xfId="0" applyFont="1" applyFill="1" applyBorder="1"/>
    <xf numFmtId="0" fontId="7" fillId="3" borderId="4" xfId="0" applyFont="1" applyFill="1" applyBorder="1"/>
    <xf numFmtId="165" fontId="10" fillId="4" borderId="1" xfId="2" applyNumberFormat="1" applyFont="1" applyFill="1" applyBorder="1" applyAlignment="1" applyProtection="1"/>
    <xf numFmtId="0" fontId="10" fillId="4" borderId="1" xfId="0" applyFont="1" applyFill="1" applyBorder="1"/>
    <xf numFmtId="165" fontId="7" fillId="4" borderId="1" xfId="2" applyNumberFormat="1" applyFont="1" applyFill="1" applyBorder="1" applyAlignment="1" applyProtection="1"/>
    <xf numFmtId="43" fontId="7" fillId="4" borderId="0" xfId="3" applyFont="1" applyFill="1" applyBorder="1" applyAlignment="1" applyProtection="1"/>
    <xf numFmtId="165" fontId="7" fillId="3" borderId="3" xfId="2" applyNumberFormat="1" applyFont="1" applyFill="1" applyBorder="1" applyAlignment="1" applyProtection="1">
      <alignment horizontal="left"/>
    </xf>
    <xf numFmtId="165" fontId="7" fillId="3" borderId="2" xfId="2" applyNumberFormat="1" applyFont="1" applyFill="1" applyBorder="1" applyAlignment="1" applyProtection="1">
      <alignment horizontal="left"/>
    </xf>
    <xf numFmtId="165" fontId="7" fillId="5" borderId="3" xfId="2" applyNumberFormat="1" applyFont="1" applyFill="1" applyBorder="1" applyAlignment="1" applyProtection="1">
      <alignment horizontal="left"/>
    </xf>
    <xf numFmtId="165" fontId="7" fillId="5" borderId="2" xfId="2" applyNumberFormat="1" applyFont="1" applyFill="1" applyBorder="1" applyAlignment="1" applyProtection="1">
      <alignment horizontal="left"/>
    </xf>
    <xf numFmtId="0" fontId="8" fillId="4" borderId="0" xfId="4" applyFont="1" applyFill="1" applyAlignment="1">
      <alignment vertical="top"/>
    </xf>
    <xf numFmtId="0" fontId="12" fillId="4" borderId="0" xfId="0" applyFont="1" applyFill="1"/>
    <xf numFmtId="0" fontId="6" fillId="2" borderId="0" xfId="0" applyFont="1" applyFill="1"/>
    <xf numFmtId="165" fontId="3" fillId="4" borderId="0" xfId="2" applyNumberFormat="1" applyFont="1" applyFill="1" applyBorder="1" applyAlignment="1" applyProtection="1">
      <alignment horizontal="center" vertical="center"/>
    </xf>
    <xf numFmtId="165" fontId="15" fillId="4" borderId="0" xfId="2" applyNumberFormat="1" applyFont="1" applyFill="1" applyBorder="1" applyAlignment="1" applyProtection="1"/>
    <xf numFmtId="164" fontId="6" fillId="4" borderId="0" xfId="2" applyFont="1" applyFill="1" applyBorder="1" applyAlignment="1" applyProtection="1"/>
    <xf numFmtId="165" fontId="16" fillId="4" borderId="0" xfId="2" applyNumberFormat="1" applyFont="1" applyFill="1" applyBorder="1" applyAlignment="1" applyProtection="1">
      <alignment horizontal="left"/>
    </xf>
    <xf numFmtId="164" fontId="10" fillId="4" borderId="1" xfId="2" applyFont="1" applyFill="1" applyBorder="1" applyAlignment="1" applyProtection="1">
      <alignment horizontal="left" vertical="center"/>
    </xf>
    <xf numFmtId="43" fontId="10" fillId="0" borderId="1" xfId="3" applyFont="1" applyFill="1" applyBorder="1" applyAlignment="1" applyProtection="1">
      <alignment horizontal="left"/>
    </xf>
    <xf numFmtId="165" fontId="8" fillId="8" borderId="5" xfId="2" applyNumberFormat="1" applyFont="1" applyFill="1" applyBorder="1" applyAlignment="1" applyProtection="1">
      <alignment horizontal="left"/>
    </xf>
    <xf numFmtId="164" fontId="6" fillId="4" borderId="0" xfId="2" applyFont="1" applyFill="1" applyBorder="1" applyAlignment="1" applyProtection="1">
      <alignment horizontal="left" vertical="center"/>
    </xf>
    <xf numFmtId="164" fontId="8" fillId="4" borderId="0" xfId="3" applyNumberFormat="1" applyFont="1" applyFill="1" applyBorder="1" applyAlignment="1" applyProtection="1">
      <alignment horizontal="left"/>
    </xf>
    <xf numFmtId="164" fontId="8" fillId="4" borderId="0" xfId="2" applyFont="1" applyFill="1" applyBorder="1" applyAlignment="1" applyProtection="1">
      <alignment horizontal="left"/>
    </xf>
    <xf numFmtId="164" fontId="10" fillId="4" borderId="1" xfId="2" applyFont="1" applyFill="1" applyBorder="1" applyAlignment="1" applyProtection="1">
      <alignment horizontal="left"/>
    </xf>
    <xf numFmtId="164" fontId="10" fillId="4" borderId="0" xfId="2" applyFont="1" applyFill="1" applyBorder="1" applyAlignment="1" applyProtection="1">
      <alignment horizontal="left" vertical="center"/>
    </xf>
    <xf numFmtId="164" fontId="10" fillId="4" borderId="0" xfId="2" applyFont="1" applyFill="1" applyBorder="1" applyAlignment="1" applyProtection="1">
      <alignment horizontal="left"/>
    </xf>
    <xf numFmtId="164" fontId="8" fillId="5" borderId="6" xfId="4" applyNumberFormat="1" applyFont="1" applyFill="1" applyBorder="1" applyAlignment="1">
      <alignment vertical="top"/>
    </xf>
    <xf numFmtId="164" fontId="12" fillId="4" borderId="0" xfId="2" applyFont="1" applyFill="1" applyBorder="1" applyAlignment="1" applyProtection="1">
      <alignment horizontal="left"/>
    </xf>
    <xf numFmtId="164" fontId="8" fillId="4" borderId="0" xfId="2" applyFont="1" applyFill="1" applyBorder="1" applyAlignment="1" applyProtection="1">
      <alignment horizontal="left" vertical="center"/>
    </xf>
    <xf numFmtId="164" fontId="7" fillId="4" borderId="0" xfId="2" applyFont="1" applyFill="1" applyBorder="1" applyAlignment="1" applyProtection="1">
      <alignment horizontal="left"/>
    </xf>
    <xf numFmtId="165" fontId="7" fillId="8" borderId="6" xfId="2" applyNumberFormat="1" applyFont="1" applyFill="1" applyBorder="1" applyAlignment="1" applyProtection="1"/>
    <xf numFmtId="164" fontId="7" fillId="8" borderId="6" xfId="0" applyNumberFormat="1" applyFont="1" applyFill="1" applyBorder="1"/>
    <xf numFmtId="0" fontId="7" fillId="8" borderId="6" xfId="0" applyFont="1" applyFill="1" applyBorder="1"/>
    <xf numFmtId="0" fontId="7" fillId="8" borderId="4" xfId="0" applyFont="1" applyFill="1" applyBorder="1"/>
    <xf numFmtId="164" fontId="7" fillId="4" borderId="1" xfId="2" applyFont="1" applyFill="1" applyBorder="1" applyAlignment="1" applyProtection="1"/>
    <xf numFmtId="164" fontId="7" fillId="4" borderId="0" xfId="2" applyFont="1" applyFill="1" applyBorder="1" applyAlignment="1" applyProtection="1"/>
    <xf numFmtId="164" fontId="7" fillId="4" borderId="0" xfId="3" applyNumberFormat="1" applyFont="1" applyFill="1" applyBorder="1" applyAlignment="1" applyProtection="1">
      <alignment horizontal="left"/>
    </xf>
    <xf numFmtId="164" fontId="6" fillId="4" borderId="0" xfId="0" applyNumberFormat="1" applyFont="1" applyFill="1"/>
    <xf numFmtId="164" fontId="6" fillId="4" borderId="0" xfId="2" applyFont="1" applyFill="1" applyBorder="1" applyAlignment="1" applyProtection="1">
      <alignment horizontal="left"/>
    </xf>
    <xf numFmtId="165" fontId="10" fillId="0" borderId="1" xfId="2" applyNumberFormat="1" applyFont="1" applyFill="1" applyBorder="1" applyAlignment="1" applyProtection="1">
      <alignment horizontal="left"/>
    </xf>
    <xf numFmtId="164" fontId="7" fillId="3" borderId="6" xfId="0" applyNumberFormat="1" applyFont="1" applyFill="1" applyBorder="1"/>
    <xf numFmtId="0" fontId="6" fillId="4" borderId="0" xfId="0" applyFont="1" applyFill="1" applyAlignment="1">
      <alignment wrapText="1"/>
    </xf>
    <xf numFmtId="165" fontId="7" fillId="4" borderId="0" xfId="2" applyNumberFormat="1" applyFont="1" applyFill="1" applyBorder="1" applyAlignment="1" applyProtection="1">
      <alignment horizontal="center" vertical="center" wrapText="1"/>
    </xf>
    <xf numFmtId="165" fontId="16" fillId="4" borderId="0" xfId="2" applyNumberFormat="1" applyFont="1" applyFill="1" applyBorder="1" applyAlignment="1" applyProtection="1">
      <alignment horizontal="center" vertical="center" wrapText="1"/>
    </xf>
    <xf numFmtId="164" fontId="7" fillId="4" borderId="0" xfId="2" applyFont="1" applyFill="1" applyBorder="1" applyAlignment="1" applyProtection="1">
      <alignment horizontal="center" vertical="center" wrapText="1"/>
    </xf>
    <xf numFmtId="0" fontId="6" fillId="4" borderId="0" xfId="0" applyFont="1" applyFill="1" applyAlignment="1">
      <alignment horizontal="right" wrapText="1"/>
    </xf>
    <xf numFmtId="165" fontId="7" fillId="4" borderId="1" xfId="2" applyNumberFormat="1" applyFont="1" applyFill="1" applyBorder="1" applyAlignment="1" applyProtection="1">
      <alignment horizontal="center" vertical="center" wrapText="1"/>
    </xf>
    <xf numFmtId="165" fontId="6" fillId="4" borderId="1" xfId="2" applyNumberFormat="1" applyFont="1" applyFill="1" applyBorder="1" applyAlignment="1" applyProtection="1">
      <alignment horizontal="center" vertical="center" wrapText="1"/>
    </xf>
    <xf numFmtId="165" fontId="16" fillId="4" borderId="0" xfId="2" applyNumberFormat="1" applyFont="1" applyFill="1" applyBorder="1" applyAlignment="1" applyProtection="1">
      <alignment horizontal="center" vertical="center"/>
    </xf>
    <xf numFmtId="14" fontId="7" fillId="4" borderId="0" xfId="0" applyNumberFormat="1" applyFont="1" applyFill="1" applyAlignment="1">
      <alignment horizontal="left"/>
    </xf>
    <xf numFmtId="14" fontId="7" fillId="4" borderId="0" xfId="2" applyNumberFormat="1" applyFont="1" applyFill="1" applyBorder="1" applyAlignment="1" applyProtection="1">
      <alignment horizontal="left"/>
    </xf>
    <xf numFmtId="0" fontId="6" fillId="4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0" fontId="7" fillId="4" borderId="0" xfId="0" applyFont="1" applyFill="1" applyAlignment="1" applyProtection="1">
      <alignment horizontal="right"/>
      <protection locked="0"/>
    </xf>
    <xf numFmtId="165" fontId="7" fillId="7" borderId="7" xfId="2" applyNumberFormat="1" applyFont="1" applyFill="1" applyBorder="1" applyAlignment="1" applyProtection="1">
      <alignment horizontal="left"/>
    </xf>
    <xf numFmtId="43" fontId="10" fillId="4" borderId="7" xfId="3" applyFont="1" applyFill="1" applyBorder="1" applyAlignment="1" applyProtection="1">
      <alignment horizontal="left"/>
    </xf>
    <xf numFmtId="0" fontId="14" fillId="0" borderId="0" xfId="0" applyFont="1" applyAlignment="1">
      <alignment vertical="center"/>
    </xf>
    <xf numFmtId="0" fontId="6" fillId="4" borderId="0" xfId="0" applyFont="1" applyFill="1" applyAlignment="1" applyProtection="1">
      <alignment horizontal="right"/>
      <protection locked="0"/>
    </xf>
    <xf numFmtId="0" fontId="10" fillId="4" borderId="0" xfId="0" applyFont="1" applyFill="1" applyAlignment="1" applyProtection="1">
      <alignment horizontal="right"/>
      <protection locked="0"/>
    </xf>
    <xf numFmtId="43" fontId="10" fillId="4" borderId="8" xfId="3" applyFont="1" applyFill="1" applyBorder="1" applyAlignment="1" applyProtection="1">
      <alignment horizontal="left"/>
    </xf>
    <xf numFmtId="165" fontId="10" fillId="4" borderId="8" xfId="2" applyNumberFormat="1" applyFont="1" applyFill="1" applyBorder="1" applyAlignment="1" applyProtection="1">
      <alignment horizontal="left" vertical="center"/>
    </xf>
    <xf numFmtId="164" fontId="10" fillId="4" borderId="8" xfId="2" applyFont="1" applyFill="1" applyBorder="1" applyAlignment="1" applyProtection="1">
      <alignment horizontal="left" vertical="center"/>
    </xf>
    <xf numFmtId="165" fontId="10" fillId="4" borderId="8" xfId="2" applyNumberFormat="1" applyFont="1" applyFill="1" applyBorder="1" applyAlignment="1" applyProtection="1">
      <alignment horizontal="left"/>
    </xf>
    <xf numFmtId="43" fontId="8" fillId="5" borderId="1" xfId="3" applyFont="1" applyFill="1" applyBorder="1" applyAlignment="1" applyProtection="1">
      <alignment horizontal="left"/>
    </xf>
    <xf numFmtId="165" fontId="8" fillId="5" borderId="1" xfId="2" applyNumberFormat="1" applyFont="1" applyFill="1" applyBorder="1" applyAlignment="1" applyProtection="1">
      <alignment horizontal="left" vertical="center"/>
    </xf>
    <xf numFmtId="165" fontId="8" fillId="5" borderId="1" xfId="2" applyNumberFormat="1" applyFont="1" applyFill="1" applyBorder="1" applyAlignment="1" applyProtection="1">
      <alignment horizontal="left"/>
    </xf>
    <xf numFmtId="165" fontId="8" fillId="5" borderId="0" xfId="2" applyNumberFormat="1" applyFont="1" applyFill="1" applyBorder="1" applyAlignment="1" applyProtection="1">
      <alignment horizontal="left"/>
    </xf>
    <xf numFmtId="43" fontId="8" fillId="3" borderId="1" xfId="3" applyFont="1" applyFill="1" applyBorder="1" applyAlignment="1" applyProtection="1">
      <alignment horizontal="left"/>
    </xf>
    <xf numFmtId="164" fontId="8" fillId="3" borderId="1" xfId="3" applyNumberFormat="1" applyFont="1" applyFill="1" applyBorder="1" applyAlignment="1" applyProtection="1">
      <alignment horizontal="left"/>
    </xf>
    <xf numFmtId="165" fontId="8" fillId="3" borderId="1" xfId="2" applyNumberFormat="1" applyFont="1" applyFill="1" applyBorder="1" applyAlignment="1" applyProtection="1">
      <alignment horizontal="left"/>
    </xf>
    <xf numFmtId="0" fontId="7" fillId="3" borderId="1" xfId="0" applyFont="1" applyFill="1" applyBorder="1"/>
    <xf numFmtId="164" fontId="7" fillId="3" borderId="1" xfId="0" applyNumberFormat="1" applyFont="1" applyFill="1" applyBorder="1"/>
    <xf numFmtId="165" fontId="7" fillId="3" borderId="1" xfId="2" applyNumberFormat="1" applyFont="1" applyFill="1" applyBorder="1" applyAlignment="1" applyProtection="1"/>
    <xf numFmtId="43" fontId="7" fillId="3" borderId="1" xfId="3" applyFont="1" applyFill="1" applyBorder="1" applyAlignment="1" applyProtection="1">
      <alignment horizontal="left"/>
    </xf>
    <xf numFmtId="164" fontId="7" fillId="3" borderId="1" xfId="3" applyNumberFormat="1" applyFont="1" applyFill="1" applyBorder="1" applyAlignment="1" applyProtection="1">
      <alignment horizontal="left"/>
    </xf>
    <xf numFmtId="165" fontId="7" fillId="3" borderId="1" xfId="2" applyNumberFormat="1" applyFont="1" applyFill="1" applyBorder="1" applyAlignment="1" applyProtection="1">
      <alignment horizontal="left"/>
    </xf>
    <xf numFmtId="164" fontId="8" fillId="5" borderId="1" xfId="3" applyNumberFormat="1" applyFont="1" applyFill="1" applyBorder="1" applyAlignment="1" applyProtection="1">
      <alignment horizontal="left"/>
    </xf>
    <xf numFmtId="165" fontId="7" fillId="8" borderId="5" xfId="2" applyNumberFormat="1" applyFont="1" applyFill="1" applyBorder="1" applyAlignment="1" applyProtection="1"/>
    <xf numFmtId="164" fontId="7" fillId="5" borderId="1" xfId="3" applyNumberFormat="1" applyFont="1" applyFill="1" applyBorder="1" applyAlignment="1" applyProtection="1">
      <alignment horizontal="left"/>
    </xf>
    <xf numFmtId="165" fontId="7" fillId="5" borderId="1" xfId="2" applyNumberFormat="1" applyFont="1" applyFill="1" applyBorder="1" applyAlignment="1" applyProtection="1">
      <alignment horizontal="left"/>
    </xf>
    <xf numFmtId="43" fontId="7" fillId="5" borderId="1" xfId="3" applyFont="1" applyFill="1" applyBorder="1" applyAlignment="1" applyProtection="1">
      <alignment horizontal="left"/>
    </xf>
    <xf numFmtId="43" fontId="8" fillId="8" borderId="4" xfId="3" applyFont="1" applyFill="1" applyBorder="1" applyAlignment="1" applyProtection="1">
      <alignment horizontal="left"/>
    </xf>
    <xf numFmtId="43" fontId="8" fillId="8" borderId="6" xfId="3" applyFont="1" applyFill="1" applyBorder="1" applyAlignment="1" applyProtection="1">
      <alignment horizontal="left"/>
    </xf>
    <xf numFmtId="164" fontId="8" fillId="8" borderId="6" xfId="3" applyNumberFormat="1" applyFont="1" applyFill="1" applyBorder="1" applyAlignment="1" applyProtection="1">
      <alignment horizontal="left"/>
    </xf>
    <xf numFmtId="165" fontId="8" fillId="8" borderId="6" xfId="2" applyNumberFormat="1" applyFont="1" applyFill="1" applyBorder="1" applyAlignment="1" applyProtection="1">
      <alignment horizontal="left"/>
    </xf>
    <xf numFmtId="43" fontId="8" fillId="0" borderId="1" xfId="3" applyFont="1" applyFill="1" applyBorder="1" applyAlignment="1" applyProtection="1">
      <alignment horizontal="left"/>
    </xf>
    <xf numFmtId="164" fontId="10" fillId="0" borderId="1" xfId="3" applyNumberFormat="1" applyFont="1" applyFill="1" applyBorder="1" applyAlignment="1" applyProtection="1">
      <alignment horizontal="left"/>
    </xf>
    <xf numFmtId="166" fontId="6" fillId="4" borderId="0" xfId="0" applyNumberFormat="1" applyFont="1" applyFill="1" applyAlignment="1">
      <alignment horizontal="right"/>
    </xf>
    <xf numFmtId="166" fontId="7" fillId="4" borderId="0" xfId="2" applyNumberFormat="1" applyFont="1" applyFill="1" applyBorder="1" applyAlignment="1" applyProtection="1">
      <alignment horizontal="right" vertical="center" wrapText="1"/>
    </xf>
    <xf numFmtId="166" fontId="7" fillId="3" borderId="1" xfId="2" applyNumberFormat="1" applyFont="1" applyFill="1" applyBorder="1" applyAlignment="1" applyProtection="1">
      <alignment horizontal="right"/>
    </xf>
    <xf numFmtId="166" fontId="7" fillId="3" borderId="6" xfId="2" applyNumberFormat="1" applyFont="1" applyFill="1" applyBorder="1" applyAlignment="1" applyProtection="1">
      <alignment horizontal="right"/>
    </xf>
    <xf numFmtId="166" fontId="7" fillId="8" borderId="6" xfId="2" applyNumberFormat="1" applyFont="1" applyFill="1" applyBorder="1" applyAlignment="1" applyProtection="1">
      <alignment horizontal="right"/>
    </xf>
    <xf numFmtId="166" fontId="6" fillId="4" borderId="0" xfId="2" applyNumberFormat="1" applyFont="1" applyFill="1" applyBorder="1" applyAlignment="1" applyProtection="1">
      <alignment horizontal="right"/>
    </xf>
    <xf numFmtId="166" fontId="8" fillId="5" borderId="6" xfId="2" applyNumberFormat="1" applyFont="1" applyFill="1" applyBorder="1" applyAlignment="1" applyProtection="1">
      <alignment horizontal="right" vertical="top"/>
    </xf>
    <xf numFmtId="0" fontId="17" fillId="4" borderId="0" xfId="5" applyFill="1"/>
    <xf numFmtId="9" fontId="10" fillId="4" borderId="1" xfId="2" applyNumberFormat="1" applyFont="1" applyFill="1" applyBorder="1" applyAlignment="1" applyProtection="1">
      <alignment horizontal="left" vertical="center"/>
    </xf>
    <xf numFmtId="165" fontId="10" fillId="6" borderId="1" xfId="2" applyNumberFormat="1" applyFont="1" applyFill="1" applyBorder="1" applyAlignment="1" applyProtection="1">
      <alignment horizontal="right"/>
    </xf>
    <xf numFmtId="165" fontId="6" fillId="4" borderId="1" xfId="2" applyNumberFormat="1" applyFont="1" applyFill="1" applyBorder="1" applyAlignment="1" applyProtection="1">
      <alignment horizontal="right" vertical="center" wrapText="1"/>
    </xf>
    <xf numFmtId="165" fontId="7" fillId="4" borderId="1" xfId="2" applyNumberFormat="1" applyFont="1" applyFill="1" applyBorder="1" applyAlignment="1" applyProtection="1">
      <alignment horizontal="right" vertical="center" wrapText="1"/>
    </xf>
    <xf numFmtId="164" fontId="7" fillId="4" borderId="0" xfId="2" applyFont="1" applyFill="1" applyBorder="1" applyAlignment="1" applyProtection="1">
      <alignment horizontal="right" vertical="center" wrapText="1"/>
    </xf>
    <xf numFmtId="167" fontId="6" fillId="4" borderId="1" xfId="2" applyNumberFormat="1" applyFont="1" applyFill="1" applyBorder="1" applyAlignment="1" applyProtection="1">
      <alignment horizontal="right" vertical="center" wrapText="1"/>
    </xf>
    <xf numFmtId="164" fontId="0" fillId="0" borderId="1" xfId="2" applyFont="1" applyBorder="1"/>
    <xf numFmtId="0" fontId="0" fillId="0" borderId="1" xfId="0" applyBorder="1"/>
    <xf numFmtId="0" fontId="18" fillId="7" borderId="1" xfId="0" applyFont="1" applyFill="1" applyBorder="1" applyAlignment="1">
      <alignment horizontal="center"/>
    </xf>
    <xf numFmtId="168" fontId="6" fillId="4" borderId="2" xfId="0" applyNumberFormat="1" applyFont="1" applyFill="1" applyBorder="1" applyAlignment="1">
      <alignment horizontal="right"/>
    </xf>
    <xf numFmtId="165" fontId="8" fillId="7" borderId="1" xfId="2" applyNumberFormat="1" applyFont="1" applyFill="1" applyBorder="1" applyAlignment="1" applyProtection="1">
      <alignment horizontal="right"/>
    </xf>
    <xf numFmtId="165" fontId="8" fillId="4" borderId="0" xfId="2" applyNumberFormat="1" applyFont="1" applyFill="1" applyBorder="1" applyAlignment="1" applyProtection="1">
      <alignment horizontal="right" vertical="center"/>
    </xf>
    <xf numFmtId="165" fontId="8" fillId="3" borderId="1" xfId="2" applyNumberFormat="1" applyFont="1" applyFill="1" applyBorder="1" applyAlignment="1" applyProtection="1">
      <alignment horizontal="right"/>
    </xf>
    <xf numFmtId="165" fontId="6" fillId="4" borderId="0" xfId="2" applyNumberFormat="1" applyFont="1" applyFill="1" applyAlignment="1">
      <alignment horizontal="right"/>
    </xf>
    <xf numFmtId="165" fontId="7" fillId="4" borderId="0" xfId="2" applyNumberFormat="1" applyFont="1" applyFill="1" applyBorder="1" applyAlignment="1" applyProtection="1">
      <alignment horizontal="right" vertical="center" wrapText="1"/>
    </xf>
    <xf numFmtId="165" fontId="7" fillId="3" borderId="1" xfId="2" applyNumberFormat="1" applyFont="1" applyFill="1" applyBorder="1" applyAlignment="1" applyProtection="1">
      <alignment horizontal="right"/>
    </xf>
    <xf numFmtId="165" fontId="7" fillId="3" borderId="6" xfId="2" applyNumberFormat="1" applyFont="1" applyFill="1" applyBorder="1" applyAlignment="1" applyProtection="1">
      <alignment horizontal="right"/>
    </xf>
    <xf numFmtId="165" fontId="7" fillId="8" borderId="6" xfId="2" applyNumberFormat="1" applyFont="1" applyFill="1" applyBorder="1" applyAlignment="1" applyProtection="1">
      <alignment horizontal="right"/>
    </xf>
    <xf numFmtId="165" fontId="6" fillId="4" borderId="0" xfId="2" applyNumberFormat="1" applyFont="1" applyFill="1" applyBorder="1" applyAlignment="1" applyProtection="1">
      <alignment horizontal="right"/>
    </xf>
    <xf numFmtId="165" fontId="8" fillId="5" borderId="6" xfId="2" applyNumberFormat="1" applyFont="1" applyFill="1" applyBorder="1" applyAlignment="1" applyProtection="1">
      <alignment horizontal="right" vertical="top"/>
    </xf>
    <xf numFmtId="165" fontId="7" fillId="7" borderId="1" xfId="2" applyNumberFormat="1" applyFont="1" applyFill="1" applyBorder="1" applyAlignment="1" applyProtection="1">
      <alignment horizontal="right"/>
    </xf>
    <xf numFmtId="165" fontId="10" fillId="4" borderId="0" xfId="2" applyNumberFormat="1" applyFont="1" applyFill="1" applyBorder="1" applyAlignment="1" applyProtection="1">
      <alignment horizontal="right"/>
    </xf>
    <xf numFmtId="165" fontId="7" fillId="4" borderId="0" xfId="2" applyNumberFormat="1" applyFont="1" applyFill="1" applyBorder="1" applyAlignment="1" applyProtection="1">
      <alignment horizontal="right"/>
    </xf>
    <xf numFmtId="165" fontId="10" fillId="4" borderId="0" xfId="2" applyNumberFormat="1" applyFont="1" applyFill="1" applyBorder="1" applyAlignment="1" applyProtection="1">
      <alignment horizontal="right" vertical="center"/>
    </xf>
    <xf numFmtId="165" fontId="8" fillId="5" borderId="1" xfId="2" applyNumberFormat="1" applyFont="1" applyFill="1" applyBorder="1" applyAlignment="1" applyProtection="1">
      <alignment horizontal="right"/>
    </xf>
    <xf numFmtId="165" fontId="8" fillId="4" borderId="0" xfId="2" applyNumberFormat="1" applyFont="1" applyFill="1" applyBorder="1" applyAlignment="1" applyProtection="1">
      <alignment horizontal="right"/>
    </xf>
    <xf numFmtId="165" fontId="12" fillId="4" borderId="0" xfId="2" applyNumberFormat="1" applyFont="1" applyFill="1" applyBorder="1" applyAlignment="1" applyProtection="1">
      <alignment horizontal="right"/>
    </xf>
    <xf numFmtId="165" fontId="8" fillId="8" borderId="6" xfId="2" applyNumberFormat="1" applyFont="1" applyFill="1" applyBorder="1" applyAlignment="1" applyProtection="1">
      <alignment horizontal="right"/>
    </xf>
    <xf numFmtId="165" fontId="10" fillId="0" borderId="1" xfId="2" applyNumberFormat="1" applyFont="1" applyFill="1" applyBorder="1" applyAlignment="1" applyProtection="1">
      <alignment horizontal="right"/>
    </xf>
    <xf numFmtId="172" fontId="6" fillId="4" borderId="2" xfId="2" applyNumberFormat="1" applyFont="1" applyFill="1" applyBorder="1" applyAlignment="1">
      <alignment horizontal="right"/>
    </xf>
    <xf numFmtId="43" fontId="0" fillId="0" borderId="0" xfId="0" applyNumberFormat="1"/>
    <xf numFmtId="169" fontId="6" fillId="4" borderId="0" xfId="2" applyNumberFormat="1" applyFont="1" applyFill="1" applyAlignment="1">
      <alignment horizontal="right"/>
    </xf>
    <xf numFmtId="164" fontId="8" fillId="5" borderId="1" xfId="2" applyFont="1" applyFill="1" applyBorder="1" applyAlignment="1" applyProtection="1">
      <alignment horizontal="left"/>
    </xf>
    <xf numFmtId="171" fontId="6" fillId="4" borderId="0" xfId="2" applyNumberFormat="1" applyFont="1" applyFill="1" applyBorder="1" applyAlignment="1" applyProtection="1">
      <alignment horizontal="right"/>
    </xf>
    <xf numFmtId="171" fontId="6" fillId="4" borderId="0" xfId="2" applyNumberFormat="1" applyFont="1" applyFill="1" applyAlignment="1">
      <alignment horizontal="right"/>
    </xf>
    <xf numFmtId="165" fontId="6" fillId="4" borderId="1" xfId="2" applyNumberFormat="1" applyFont="1" applyFill="1" applyBorder="1" applyAlignment="1" applyProtection="1">
      <alignment horizontal="left"/>
    </xf>
    <xf numFmtId="164" fontId="7" fillId="7" borderId="1" xfId="2" applyFont="1" applyFill="1" applyBorder="1" applyAlignment="1" applyProtection="1">
      <alignment horizontal="left"/>
    </xf>
    <xf numFmtId="165" fontId="6" fillId="4" borderId="0" xfId="2" applyNumberFormat="1" applyFont="1" applyFill="1"/>
    <xf numFmtId="165" fontId="6" fillId="4" borderId="0" xfId="0" applyNumberFormat="1" applyFont="1" applyFill="1"/>
    <xf numFmtId="165" fontId="8" fillId="5" borderId="6" xfId="2" applyNumberFormat="1" applyFont="1" applyFill="1" applyBorder="1" applyAlignment="1">
      <alignment vertical="top"/>
    </xf>
    <xf numFmtId="165" fontId="8" fillId="5" borderId="6" xfId="4" applyNumberFormat="1" applyFont="1" applyFill="1" applyBorder="1" applyAlignment="1">
      <alignment vertical="top"/>
    </xf>
    <xf numFmtId="165" fontId="7" fillId="4" borderId="0" xfId="3" applyNumberFormat="1" applyFont="1" applyFill="1" applyBorder="1" applyAlignment="1" applyProtection="1">
      <alignment horizontal="left"/>
    </xf>
    <xf numFmtId="165" fontId="7" fillId="8" borderId="6" xfId="0" applyNumberFormat="1" applyFont="1" applyFill="1" applyBorder="1"/>
    <xf numFmtId="165" fontId="8" fillId="8" borderId="6" xfId="3" applyNumberFormat="1" applyFont="1" applyFill="1" applyBorder="1" applyAlignment="1" applyProtection="1">
      <alignment horizontal="left"/>
    </xf>
    <xf numFmtId="165" fontId="8" fillId="4" borderId="0" xfId="3" applyNumberFormat="1" applyFont="1" applyFill="1" applyBorder="1" applyAlignment="1" applyProtection="1">
      <alignment horizontal="left"/>
    </xf>
    <xf numFmtId="165" fontId="10" fillId="0" borderId="1" xfId="3" applyNumberFormat="1" applyFont="1" applyFill="1" applyBorder="1" applyAlignment="1" applyProtection="1">
      <alignment horizontal="left"/>
    </xf>
    <xf numFmtId="165" fontId="10" fillId="0" borderId="1" xfId="3" applyNumberFormat="1" applyFont="1" applyFill="1" applyBorder="1" applyAlignment="1" applyProtection="1">
      <alignment horizontal="right"/>
    </xf>
    <xf numFmtId="165" fontId="8" fillId="5" borderId="1" xfId="3" applyNumberFormat="1" applyFont="1" applyFill="1" applyBorder="1" applyAlignment="1" applyProtection="1">
      <alignment horizontal="left"/>
    </xf>
    <xf numFmtId="165" fontId="8" fillId="5" borderId="1" xfId="3" applyNumberFormat="1" applyFont="1" applyFill="1" applyBorder="1" applyAlignment="1" applyProtection="1">
      <alignment horizontal="right"/>
    </xf>
    <xf numFmtId="172" fontId="8" fillId="4" borderId="0" xfId="2" applyNumberFormat="1" applyFont="1" applyFill="1" applyBorder="1" applyAlignment="1" applyProtection="1">
      <alignment horizontal="right" vertical="center"/>
    </xf>
    <xf numFmtId="171" fontId="6" fillId="4" borderId="0" xfId="2" applyNumberFormat="1" applyFont="1" applyFill="1" applyBorder="1" applyAlignment="1" applyProtection="1"/>
    <xf numFmtId="173" fontId="6" fillId="4" borderId="0" xfId="2" applyNumberFormat="1" applyFont="1" applyFill="1" applyBorder="1" applyAlignment="1" applyProtection="1"/>
    <xf numFmtId="171" fontId="7" fillId="4" borderId="0" xfId="2" applyNumberFormat="1" applyFont="1" applyFill="1" applyBorder="1" applyAlignment="1" applyProtection="1">
      <alignment horizontal="right" vertical="center" wrapText="1"/>
    </xf>
    <xf numFmtId="171" fontId="8" fillId="4" borderId="0" xfId="2" applyNumberFormat="1" applyFont="1" applyFill="1" applyBorder="1" applyAlignment="1" applyProtection="1">
      <alignment horizontal="left" vertical="center"/>
    </xf>
    <xf numFmtId="170" fontId="7" fillId="4" borderId="0" xfId="2" applyNumberFormat="1" applyFont="1" applyFill="1" applyBorder="1" applyAlignment="1" applyProtection="1">
      <alignment horizontal="center" vertical="center" wrapText="1"/>
    </xf>
    <xf numFmtId="165" fontId="7" fillId="4" borderId="1" xfId="2" applyNumberFormat="1" applyFont="1" applyFill="1" applyBorder="1" applyAlignment="1" applyProtection="1">
      <alignment horizontal="left" vertical="center"/>
    </xf>
    <xf numFmtId="165" fontId="7" fillId="4" borderId="0" xfId="2" applyNumberFormat="1" applyFont="1" applyFill="1" applyBorder="1" applyAlignment="1" applyProtection="1">
      <alignment horizontal="left" vertical="center"/>
    </xf>
    <xf numFmtId="165" fontId="13" fillId="4" borderId="0" xfId="2" applyNumberFormat="1" applyFont="1" applyFill="1" applyBorder="1" applyAlignment="1" applyProtection="1">
      <alignment horizontal="left"/>
    </xf>
    <xf numFmtId="0" fontId="19" fillId="0" borderId="1" xfId="0" applyFont="1" applyBorder="1"/>
    <xf numFmtId="0" fontId="19" fillId="0" borderId="1" xfId="0" applyFont="1" applyBorder="1" applyAlignment="1">
      <alignment vertical="top"/>
    </xf>
    <xf numFmtId="165" fontId="8" fillId="4" borderId="1" xfId="2" applyNumberFormat="1" applyFont="1" applyFill="1" applyBorder="1" applyAlignment="1" applyProtection="1">
      <alignment horizontal="left" vertical="center"/>
    </xf>
    <xf numFmtId="165" fontId="13" fillId="4" borderId="0" xfId="2" applyNumberFormat="1" applyFont="1" applyFill="1" applyBorder="1" applyAlignment="1" applyProtection="1">
      <alignment horizontal="right"/>
    </xf>
    <xf numFmtId="165" fontId="13" fillId="4" borderId="0" xfId="2" applyNumberFormat="1" applyFont="1" applyFill="1" applyBorder="1" applyAlignment="1" applyProtection="1"/>
    <xf numFmtId="164" fontId="6" fillId="4" borderId="1" xfId="2" applyFont="1" applyFill="1" applyBorder="1" applyAlignment="1" applyProtection="1"/>
    <xf numFmtId="175" fontId="10" fillId="4" borderId="1" xfId="2" applyNumberFormat="1" applyFont="1" applyFill="1" applyBorder="1" applyAlignment="1" applyProtection="1">
      <alignment horizontal="left" vertical="center"/>
    </xf>
    <xf numFmtId="174" fontId="6" fillId="4" borderId="1" xfId="2" applyNumberFormat="1" applyFont="1" applyFill="1" applyBorder="1" applyAlignment="1" applyProtection="1"/>
    <xf numFmtId="164" fontId="7" fillId="3" borderId="1" xfId="2" applyFont="1" applyFill="1" applyBorder="1" applyAlignment="1" applyProtection="1">
      <alignment horizontal="left"/>
    </xf>
    <xf numFmtId="165" fontId="6" fillId="7" borderId="1" xfId="2" applyNumberFormat="1" applyFont="1" applyFill="1" applyBorder="1" applyAlignment="1" applyProtection="1">
      <alignment horizontal="left"/>
    </xf>
    <xf numFmtId="165" fontId="10" fillId="5" borderId="1" xfId="2" applyNumberFormat="1" applyFont="1" applyFill="1" applyBorder="1" applyAlignment="1" applyProtection="1">
      <alignment horizontal="left" vertical="center"/>
    </xf>
    <xf numFmtId="164" fontId="10" fillId="5" borderId="1" xfId="2" applyFont="1" applyFill="1" applyBorder="1" applyAlignment="1" applyProtection="1">
      <alignment horizontal="left" vertical="center"/>
    </xf>
    <xf numFmtId="0" fontId="10" fillId="5" borderId="6" xfId="4" applyFont="1" applyFill="1" applyBorder="1" applyAlignment="1">
      <alignment vertical="top"/>
    </xf>
    <xf numFmtId="164" fontId="10" fillId="5" borderId="6" xfId="4" applyNumberFormat="1" applyFont="1" applyFill="1" applyBorder="1" applyAlignment="1">
      <alignment vertical="top"/>
    </xf>
    <xf numFmtId="43" fontId="10" fillId="3" borderId="1" xfId="3" applyFont="1" applyFill="1" applyBorder="1" applyAlignment="1" applyProtection="1">
      <alignment horizontal="left"/>
    </xf>
    <xf numFmtId="164" fontId="10" fillId="3" borderId="1" xfId="3" applyNumberFormat="1" applyFont="1" applyFill="1" applyBorder="1" applyAlignment="1" applyProtection="1">
      <alignment horizontal="left"/>
    </xf>
    <xf numFmtId="43" fontId="10" fillId="8" borderId="6" xfId="3" applyFont="1" applyFill="1" applyBorder="1" applyAlignment="1" applyProtection="1">
      <alignment horizontal="left"/>
    </xf>
    <xf numFmtId="164" fontId="10" fillId="8" borderId="6" xfId="3" applyNumberFormat="1" applyFont="1" applyFill="1" applyBorder="1" applyAlignment="1" applyProtection="1">
      <alignment horizontal="left"/>
    </xf>
    <xf numFmtId="164" fontId="10" fillId="4" borderId="0" xfId="3" applyNumberFormat="1" applyFont="1" applyFill="1" applyBorder="1" applyAlignment="1" applyProtection="1">
      <alignment horizontal="left"/>
    </xf>
    <xf numFmtId="174" fontId="10" fillId="4" borderId="1" xfId="2" applyNumberFormat="1" applyFont="1" applyFill="1" applyBorder="1" applyAlignment="1" applyProtection="1">
      <alignment horizontal="left" vertical="center"/>
    </xf>
    <xf numFmtId="176" fontId="10" fillId="4" borderId="1" xfId="2" applyNumberFormat="1" applyFont="1" applyFill="1" applyBorder="1" applyAlignment="1" applyProtection="1">
      <alignment horizontal="left" vertical="center"/>
    </xf>
    <xf numFmtId="170" fontId="13" fillId="4" borderId="0" xfId="2" applyNumberFormat="1" applyFont="1" applyFill="1" applyBorder="1" applyAlignment="1" applyProtection="1"/>
    <xf numFmtId="2" fontId="6" fillId="4" borderId="0" xfId="2" applyNumberFormat="1" applyFont="1" applyFill="1" applyBorder="1" applyAlignment="1" applyProtection="1">
      <alignment horizontal="right"/>
    </xf>
    <xf numFmtId="167" fontId="6" fillId="4" borderId="0" xfId="2" applyNumberFormat="1" applyFont="1" applyFill="1" applyBorder="1" applyAlignment="1" applyProtection="1">
      <alignment horizontal="right"/>
    </xf>
    <xf numFmtId="170" fontId="13" fillId="4" borderId="0" xfId="2" applyNumberFormat="1" applyFont="1" applyFill="1" applyBorder="1" applyAlignment="1" applyProtection="1">
      <alignment horizontal="right"/>
    </xf>
    <xf numFmtId="9" fontId="13" fillId="4" borderId="0" xfId="6" applyFont="1" applyFill="1" applyBorder="1" applyAlignment="1" applyProtection="1">
      <alignment horizontal="center" vertical="center" wrapText="1"/>
    </xf>
    <xf numFmtId="165" fontId="13" fillId="4" borderId="0" xfId="2" applyNumberFormat="1" applyFont="1" applyFill="1" applyBorder="1" applyAlignment="1" applyProtection="1">
      <alignment horizontal="center" vertical="center" wrapText="1"/>
    </xf>
    <xf numFmtId="9" fontId="6" fillId="4" borderId="0" xfId="6" applyFont="1" applyFill="1" applyBorder="1" applyAlignment="1" applyProtection="1"/>
    <xf numFmtId="177" fontId="6" fillId="4" borderId="0" xfId="6" applyNumberFormat="1" applyFont="1" applyFill="1" applyBorder="1" applyAlignment="1" applyProtection="1"/>
    <xf numFmtId="169" fontId="10" fillId="4" borderId="0" xfId="0" applyNumberFormat="1" applyFont="1" applyFill="1"/>
    <xf numFmtId="0" fontId="6" fillId="0" borderId="0" xfId="0" applyFont="1"/>
    <xf numFmtId="165" fontId="7" fillId="5" borderId="1" xfId="3" applyNumberFormat="1" applyFont="1" applyFill="1" applyBorder="1" applyAlignment="1" applyProtection="1">
      <alignment horizontal="left"/>
    </xf>
    <xf numFmtId="165" fontId="7" fillId="3" borderId="1" xfId="3" applyNumberFormat="1" applyFont="1" applyFill="1" applyBorder="1" applyAlignment="1" applyProtection="1">
      <alignment horizontal="left"/>
    </xf>
    <xf numFmtId="165" fontId="8" fillId="3" borderId="1" xfId="3" applyNumberFormat="1" applyFont="1" applyFill="1" applyBorder="1" applyAlignment="1" applyProtection="1">
      <alignment horizontal="left"/>
    </xf>
    <xf numFmtId="165" fontId="10" fillId="5" borderId="6" xfId="4" applyNumberFormat="1" applyFont="1" applyFill="1" applyBorder="1" applyAlignment="1">
      <alignment vertical="top"/>
    </xf>
    <xf numFmtId="165" fontId="10" fillId="3" borderId="1" xfId="3" applyNumberFormat="1" applyFont="1" applyFill="1" applyBorder="1" applyAlignment="1" applyProtection="1">
      <alignment horizontal="left"/>
    </xf>
    <xf numFmtId="165" fontId="10" fillId="8" borderId="6" xfId="3" applyNumberFormat="1" applyFont="1" applyFill="1" applyBorder="1" applyAlignment="1" applyProtection="1">
      <alignment horizontal="left"/>
    </xf>
    <xf numFmtId="165" fontId="6" fillId="0" borderId="0" xfId="0" applyNumberFormat="1" applyFont="1"/>
    <xf numFmtId="165" fontId="9" fillId="4" borderId="0" xfId="2" applyNumberFormat="1" applyFont="1" applyFill="1" applyBorder="1" applyAlignment="1" applyProtection="1">
      <alignment horizontal="center" vertical="center"/>
    </xf>
    <xf numFmtId="43" fontId="10" fillId="4" borderId="1" xfId="3" applyFont="1" applyFill="1" applyBorder="1" applyAlignment="1" applyProtection="1">
      <alignment horizontal="left" wrapText="1"/>
      <protection locked="0"/>
    </xf>
    <xf numFmtId="165" fontId="10" fillId="4" borderId="1" xfId="2" applyNumberFormat="1" applyFont="1" applyFill="1" applyBorder="1" applyAlignment="1" applyProtection="1">
      <alignment horizontal="left"/>
      <protection locked="0"/>
    </xf>
    <xf numFmtId="165" fontId="10" fillId="4" borderId="9" xfId="2" applyNumberFormat="1" applyFont="1" applyFill="1" applyBorder="1" applyAlignment="1" applyProtection="1">
      <alignment horizontal="left"/>
      <protection locked="0"/>
    </xf>
    <xf numFmtId="165" fontId="6" fillId="4" borderId="0" xfId="2" applyNumberFormat="1" applyFont="1" applyFill="1" applyBorder="1" applyAlignment="1" applyProtection="1">
      <alignment horizontal="left"/>
      <protection locked="0"/>
    </xf>
    <xf numFmtId="165" fontId="10" fillId="6" borderId="0" xfId="2" applyNumberFormat="1" applyFont="1" applyFill="1" applyBorder="1" applyAlignment="1" applyProtection="1">
      <alignment horizontal="right"/>
      <protection locked="0"/>
    </xf>
    <xf numFmtId="0" fontId="6" fillId="0" borderId="0" xfId="0" applyFont="1" applyBorder="1"/>
    <xf numFmtId="165" fontId="8" fillId="4" borderId="1" xfId="2" applyNumberFormat="1" applyFont="1" applyFill="1" applyBorder="1" applyAlignment="1" applyProtection="1">
      <alignment horizontal="left"/>
      <protection locked="0"/>
    </xf>
  </cellXfs>
  <cellStyles count="7">
    <cellStyle name="Comma 2" xfId="3" xr:uid="{95592971-4F46-4D1B-8405-7C0778C3A1A3}"/>
    <cellStyle name="Hyperlänk" xfId="5" builtinId="8"/>
    <cellStyle name="Normal" xfId="0" builtinId="0"/>
    <cellStyle name="Normal 2" xfId="1" xr:uid="{BFB389FF-6083-40A3-8C38-479F5DD7F7A5}"/>
    <cellStyle name="Normal 2 10" xfId="4" xr:uid="{6B5F253E-9157-43B9-9FD2-CDA87B0C9D1C}"/>
    <cellStyle name="Procent" xfId="6" builtinId="5"/>
    <cellStyle name="Tusental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66</xdr:row>
      <xdr:rowOff>123825</xdr:rowOff>
    </xdr:from>
    <xdr:to>
      <xdr:col>3</xdr:col>
      <xdr:colOff>0</xdr:colOff>
      <xdr:row>67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31E3597-57B0-47E2-A7F3-779B506C05C0}"/>
            </a:ext>
          </a:extLst>
        </xdr:cNvPr>
        <xdr:cNvSpPr txBox="1"/>
      </xdr:nvSpPr>
      <xdr:spPr>
        <a:xfrm>
          <a:off x="1885950" y="15327630"/>
          <a:ext cx="0" cy="552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Jesper,</a:t>
          </a:r>
          <a:r>
            <a:rPr lang="en-GB" sz="1100" baseline="0"/>
            <a:t> in log frame only 2.2.1  2.2.2  2.2.3</a:t>
          </a:r>
          <a:endParaRPr lang="en-GB" sz="1100"/>
        </a:p>
      </xdr:txBody>
    </xdr:sp>
    <xdr:clientData/>
  </xdr:twoCellAnchor>
  <xdr:twoCellAnchor>
    <xdr:from>
      <xdr:col>1</xdr:col>
      <xdr:colOff>633276</xdr:colOff>
      <xdr:row>282</xdr:row>
      <xdr:rowOff>59056</xdr:rowOff>
    </xdr:from>
    <xdr:to>
      <xdr:col>4</xdr:col>
      <xdr:colOff>747304</xdr:colOff>
      <xdr:row>290</xdr:row>
      <xdr:rowOff>117023</xdr:rowOff>
    </xdr:to>
    <xdr:sp macro="" textlink="">
      <xdr:nvSpPr>
        <xdr:cNvPr id="8" name="textruta 2">
          <a:extLst>
            <a:ext uri="{FF2B5EF4-FFF2-40B4-BE49-F238E27FC236}">
              <a16:creationId xmlns:a16="http://schemas.microsoft.com/office/drawing/2014/main" id="{C36AAB1D-9C4F-48E4-8F0A-7EDAF5F935DC}"/>
            </a:ext>
            <a:ext uri="{147F2762-F138-4A5C-976F-8EAC2B608ADB}">
              <a16:predDERef xmlns:a16="http://schemas.microsoft.com/office/drawing/2014/main" pred="{331E3597-57B0-47E2-A7F3-779B506C05C0}"/>
            </a:ext>
          </a:extLst>
        </xdr:cNvPr>
        <xdr:cNvSpPr txBox="1"/>
      </xdr:nvSpPr>
      <xdr:spPr>
        <a:xfrm>
          <a:off x="1233351" y="51617881"/>
          <a:ext cx="11677378" cy="14295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="1"/>
            <a:t>Statement of Accounting Principles:</a:t>
          </a:r>
        </a:p>
        <a:p>
          <a:endParaRPr lang="sv-SE" sz="1100" b="1"/>
        </a:p>
      </xdr:txBody>
    </xdr:sp>
    <xdr:clientData/>
  </xdr:twoCellAnchor>
  <xdr:twoCellAnchor>
    <xdr:from>
      <xdr:col>3</xdr:col>
      <xdr:colOff>0</xdr:colOff>
      <xdr:row>78</xdr:row>
      <xdr:rowOff>123825</xdr:rowOff>
    </xdr:from>
    <xdr:to>
      <xdr:col>3</xdr:col>
      <xdr:colOff>0</xdr:colOff>
      <xdr:row>79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C360C1C-36B8-497D-A082-F0118F410A48}"/>
            </a:ext>
          </a:extLst>
        </xdr:cNvPr>
        <xdr:cNvSpPr txBox="1"/>
      </xdr:nvSpPr>
      <xdr:spPr>
        <a:xfrm>
          <a:off x="9408583" y="12783397"/>
          <a:ext cx="0" cy="541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Jesper,</a:t>
          </a:r>
          <a:r>
            <a:rPr lang="en-GB" sz="1100" baseline="0"/>
            <a:t> in log frame only 2.2.1  2.2.2  2.2.3</a:t>
          </a:r>
          <a:endParaRPr lang="en-GB" sz="1100"/>
        </a:p>
      </xdr:txBody>
    </xdr:sp>
    <xdr:clientData/>
  </xdr:twoCellAnchor>
  <xdr:twoCellAnchor>
    <xdr:from>
      <xdr:col>3</xdr:col>
      <xdr:colOff>0</xdr:colOff>
      <xdr:row>86</xdr:row>
      <xdr:rowOff>123825</xdr:rowOff>
    </xdr:from>
    <xdr:to>
      <xdr:col>3</xdr:col>
      <xdr:colOff>0</xdr:colOff>
      <xdr:row>87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465253C-6838-45E8-BB07-61889E560D98}"/>
            </a:ext>
          </a:extLst>
        </xdr:cNvPr>
        <xdr:cNvSpPr txBox="1"/>
      </xdr:nvSpPr>
      <xdr:spPr>
        <a:xfrm>
          <a:off x="9408583" y="14857730"/>
          <a:ext cx="0" cy="541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Jesper,</a:t>
          </a:r>
          <a:r>
            <a:rPr lang="en-GB" sz="1100" baseline="0"/>
            <a:t> in log frame only 2.2.1  2.2.2  2.2.3</a:t>
          </a:r>
          <a:endParaRPr lang="en-GB" sz="1100"/>
        </a:p>
      </xdr:txBody>
    </xdr:sp>
    <xdr:clientData/>
  </xdr:twoCellAnchor>
  <xdr:twoCellAnchor>
    <xdr:from>
      <xdr:col>3</xdr:col>
      <xdr:colOff>0</xdr:colOff>
      <xdr:row>112</xdr:row>
      <xdr:rowOff>123825</xdr:rowOff>
    </xdr:from>
    <xdr:to>
      <xdr:col>3</xdr:col>
      <xdr:colOff>0</xdr:colOff>
      <xdr:row>113</xdr:row>
      <xdr:rowOff>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52C13DF-CA90-4E44-ACD0-A01390A19A51}"/>
            </a:ext>
          </a:extLst>
        </xdr:cNvPr>
        <xdr:cNvSpPr txBox="1"/>
      </xdr:nvSpPr>
      <xdr:spPr>
        <a:xfrm>
          <a:off x="9408583" y="12783397"/>
          <a:ext cx="0" cy="541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Jesper,</a:t>
          </a:r>
          <a:r>
            <a:rPr lang="en-GB" sz="1100" baseline="0"/>
            <a:t> in log frame only 2.2.1  2.2.2  2.2.3</a:t>
          </a:r>
          <a:endParaRPr lang="en-GB" sz="1100"/>
        </a:p>
      </xdr:txBody>
    </xdr:sp>
    <xdr:clientData/>
  </xdr:twoCellAnchor>
  <xdr:twoCellAnchor>
    <xdr:from>
      <xdr:col>3</xdr:col>
      <xdr:colOff>0</xdr:colOff>
      <xdr:row>146</xdr:row>
      <xdr:rowOff>123825</xdr:rowOff>
    </xdr:from>
    <xdr:to>
      <xdr:col>3</xdr:col>
      <xdr:colOff>0</xdr:colOff>
      <xdr:row>147</xdr:row>
      <xdr:rowOff>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926CFB6-7697-40E2-8DD8-04BBF2EE9E7B}"/>
            </a:ext>
          </a:extLst>
        </xdr:cNvPr>
        <xdr:cNvSpPr txBox="1"/>
      </xdr:nvSpPr>
      <xdr:spPr>
        <a:xfrm>
          <a:off x="10498667" y="20784397"/>
          <a:ext cx="0" cy="541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Jesper,</a:t>
          </a:r>
          <a:r>
            <a:rPr lang="en-GB" sz="1100" baseline="0"/>
            <a:t> in log frame only 2.2.1  2.2.2  2.2.3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mailto:nicolai.samuelsson@redcross.se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gisela.holmen@redcross.se" TargetMode="External"/><Relationship Id="rId1" Type="http://schemas.openxmlformats.org/officeDocument/2006/relationships/hyperlink" Target="mailto:An.Vanderheyden@redcross.se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christine.johansson@redcross.se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39FD-EEEC-4F64-9344-37F24CFF9053}">
  <sheetPr>
    <pageSetUpPr fitToPage="1"/>
  </sheetPr>
  <dimension ref="A1:S65"/>
  <sheetViews>
    <sheetView tabSelected="1" view="pageBreakPreview" topLeftCell="A23" zoomScale="70" zoomScaleNormal="70" zoomScaleSheetLayoutView="70" workbookViewId="0">
      <selection activeCell="E66" sqref="E66"/>
    </sheetView>
  </sheetViews>
  <sheetFormatPr defaultRowHeight="13" x14ac:dyDescent="0.3"/>
  <cols>
    <col min="1" max="1" width="62.26953125" style="226" customWidth="1"/>
    <col min="2" max="2" width="22.6328125" style="226" bestFit="1" customWidth="1"/>
    <col min="3" max="3" width="10.453125" style="226" bestFit="1" customWidth="1"/>
    <col min="4" max="4" width="6.1796875" style="233" bestFit="1" customWidth="1"/>
    <col min="5" max="5" width="7.81640625" style="226" bestFit="1" customWidth="1"/>
    <col min="6" max="16384" width="8.7265625" style="226"/>
  </cols>
  <sheetData>
    <row r="1" spans="1:5" ht="13.5" thickBot="1" x14ac:dyDescent="0.35">
      <c r="A1" s="76" t="s">
        <v>0</v>
      </c>
      <c r="B1" s="75"/>
      <c r="C1" s="75"/>
      <c r="D1" s="180"/>
      <c r="E1" s="74"/>
    </row>
    <row r="2" spans="1:5" ht="13.5" thickBot="1" x14ac:dyDescent="0.35">
      <c r="A2" s="23" t="s">
        <v>1</v>
      </c>
      <c r="B2" s="22"/>
      <c r="C2" s="22"/>
      <c r="D2" s="178"/>
      <c r="E2" s="69"/>
    </row>
    <row r="3" spans="1:5" x14ac:dyDescent="0.3">
      <c r="A3" s="14" t="s">
        <v>270</v>
      </c>
      <c r="B3" s="15" t="s">
        <v>8</v>
      </c>
      <c r="C3" s="202">
        <v>1200</v>
      </c>
      <c r="D3" s="13">
        <v>4</v>
      </c>
      <c r="E3" s="173">
        <f t="shared" ref="E3:E4" si="0">D3*C3</f>
        <v>4800</v>
      </c>
    </row>
    <row r="4" spans="1:5" x14ac:dyDescent="0.3">
      <c r="A4" s="14" t="s">
        <v>271</v>
      </c>
      <c r="B4" s="15" t="s">
        <v>10</v>
      </c>
      <c r="C4" s="202">
        <v>200</v>
      </c>
      <c r="D4" s="13">
        <v>80</v>
      </c>
      <c r="E4" s="173">
        <f t="shared" si="0"/>
        <v>16000</v>
      </c>
    </row>
    <row r="5" spans="1:5" ht="13.5" thickBot="1" x14ac:dyDescent="0.35">
      <c r="A5" s="123" t="s">
        <v>11</v>
      </c>
      <c r="B5" s="123"/>
      <c r="C5" s="123"/>
      <c r="D5" s="227"/>
      <c r="E5" s="122">
        <f>SUM(E3:E4)</f>
        <v>20800</v>
      </c>
    </row>
    <row r="6" spans="1:5" ht="13.5" thickBot="1" x14ac:dyDescent="0.35">
      <c r="A6" s="23" t="s">
        <v>12</v>
      </c>
      <c r="B6" s="22"/>
      <c r="C6" s="22"/>
      <c r="D6" s="178"/>
      <c r="E6" s="177"/>
    </row>
    <row r="7" spans="1:5" x14ac:dyDescent="0.3">
      <c r="A7" s="14" t="s">
        <v>260</v>
      </c>
      <c r="B7" s="34" t="s">
        <v>6</v>
      </c>
      <c r="C7" s="202">
        <v>44</v>
      </c>
      <c r="D7" s="13">
        <v>1600</v>
      </c>
      <c r="E7" s="173">
        <f>D7*C7</f>
        <v>70400</v>
      </c>
    </row>
    <row r="8" spans="1:5" x14ac:dyDescent="0.3">
      <c r="A8" s="14" t="s">
        <v>261</v>
      </c>
      <c r="B8" s="34" t="s">
        <v>10</v>
      </c>
      <c r="C8" s="202">
        <v>150</v>
      </c>
      <c r="D8" s="13">
        <f>840</f>
        <v>840</v>
      </c>
      <c r="E8" s="173">
        <f>D8*C8</f>
        <v>126000</v>
      </c>
    </row>
    <row r="9" spans="1:5" x14ac:dyDescent="0.3">
      <c r="A9" s="123" t="s">
        <v>16</v>
      </c>
      <c r="B9" s="123"/>
      <c r="C9" s="123"/>
      <c r="D9" s="227"/>
      <c r="E9" s="122">
        <f>SUM(E7:E8)</f>
        <v>196400</v>
      </c>
    </row>
    <row r="10" spans="1:5" x14ac:dyDescent="0.3">
      <c r="A10" s="116" t="s">
        <v>17</v>
      </c>
      <c r="B10" s="116"/>
      <c r="C10" s="116"/>
      <c r="D10" s="228"/>
      <c r="E10" s="118">
        <f>+E9+E5</f>
        <v>217200</v>
      </c>
    </row>
    <row r="11" spans="1:5" ht="13.5" thickBot="1" x14ac:dyDescent="0.35">
      <c r="A11" s="38"/>
      <c r="B11" s="38"/>
      <c r="C11" s="38"/>
      <c r="D11" s="179"/>
      <c r="E11" s="179"/>
    </row>
    <row r="12" spans="1:5" customFormat="1" ht="15" thickBot="1" x14ac:dyDescent="0.4">
      <c r="A12" s="76" t="s">
        <v>18</v>
      </c>
      <c r="B12" s="75"/>
      <c r="C12" s="75"/>
      <c r="D12" s="180"/>
      <c r="E12" s="180"/>
    </row>
    <row r="13" spans="1:5" customFormat="1" ht="15" thickBot="1" x14ac:dyDescent="0.4">
      <c r="A13" s="23" t="s">
        <v>19</v>
      </c>
      <c r="B13" s="22"/>
      <c r="C13" s="22"/>
      <c r="D13" s="178"/>
      <c r="E13" s="178"/>
    </row>
    <row r="14" spans="1:5" customFormat="1" ht="14.5" x14ac:dyDescent="0.35">
      <c r="A14" s="14" t="s">
        <v>21</v>
      </c>
      <c r="B14" s="47" t="s">
        <v>9</v>
      </c>
      <c r="C14" s="202">
        <v>2203</v>
      </c>
      <c r="D14" s="13">
        <v>2</v>
      </c>
      <c r="E14" s="173">
        <f>D14*C14</f>
        <v>4406</v>
      </c>
    </row>
    <row r="15" spans="1:5" customFormat="1" ht="14.5" x14ac:dyDescent="0.35">
      <c r="A15" s="14" t="s">
        <v>22</v>
      </c>
      <c r="B15" s="47" t="s">
        <v>6</v>
      </c>
      <c r="C15" s="202">
        <v>5000</v>
      </c>
      <c r="D15" s="13">
        <v>1</v>
      </c>
      <c r="E15" s="173">
        <f>D15*C15</f>
        <v>5000</v>
      </c>
    </row>
    <row r="16" spans="1:5" customFormat="1" ht="14.5" x14ac:dyDescent="0.35">
      <c r="A16" s="14" t="s">
        <v>23</v>
      </c>
      <c r="B16" s="47" t="s">
        <v>4</v>
      </c>
      <c r="C16" s="202">
        <v>1250</v>
      </c>
      <c r="D16" s="13">
        <v>10</v>
      </c>
      <c r="E16" s="173">
        <f>D16*C16</f>
        <v>12500</v>
      </c>
    </row>
    <row r="17" spans="1:5" customFormat="1" ht="14.5" x14ac:dyDescent="0.35">
      <c r="A17" s="14" t="s">
        <v>25</v>
      </c>
      <c r="B17" s="15" t="s">
        <v>8</v>
      </c>
      <c r="C17" s="202">
        <v>1500</v>
      </c>
      <c r="D17" s="13">
        <v>2</v>
      </c>
      <c r="E17" s="173">
        <f>D17*C17</f>
        <v>3000</v>
      </c>
    </row>
    <row r="18" spans="1:5" customFormat="1" ht="15" thickBot="1" x14ac:dyDescent="0.4">
      <c r="A18" s="106" t="s">
        <v>26</v>
      </c>
      <c r="B18" s="106"/>
      <c r="C18" s="106"/>
      <c r="D18" s="185"/>
      <c r="E18" s="108">
        <f>SUM(E14:E17)</f>
        <v>24906</v>
      </c>
    </row>
    <row r="19" spans="1:5" customFormat="1" ht="15" thickBot="1" x14ac:dyDescent="0.4">
      <c r="A19" s="23" t="s">
        <v>27</v>
      </c>
      <c r="B19" s="22"/>
      <c r="C19" s="22"/>
      <c r="D19" s="178"/>
      <c r="E19" s="178"/>
    </row>
    <row r="20" spans="1:5" customFormat="1" ht="14.5" x14ac:dyDescent="0.35">
      <c r="A20" s="14" t="s">
        <v>272</v>
      </c>
      <c r="B20" s="15" t="s">
        <v>30</v>
      </c>
      <c r="C20" s="202">
        <v>600</v>
      </c>
      <c r="D20" s="13">
        <v>6</v>
      </c>
      <c r="E20" s="173">
        <f>D20*C20</f>
        <v>3600</v>
      </c>
    </row>
    <row r="21" spans="1:5" customFormat="1" ht="14.5" x14ac:dyDescent="0.35">
      <c r="A21" s="14" t="s">
        <v>273</v>
      </c>
      <c r="B21" s="47" t="s">
        <v>4</v>
      </c>
      <c r="C21" s="202">
        <v>50</v>
      </c>
      <c r="D21" s="13">
        <v>20</v>
      </c>
      <c r="E21" s="173">
        <f>D21*C21</f>
        <v>1000</v>
      </c>
    </row>
    <row r="22" spans="1:5" customFormat="1" ht="14.5" x14ac:dyDescent="0.35">
      <c r="A22" s="14" t="s">
        <v>274</v>
      </c>
      <c r="B22" s="47" t="s">
        <v>4</v>
      </c>
      <c r="C22" s="202">
        <v>50</v>
      </c>
      <c r="D22" s="13">
        <v>200</v>
      </c>
      <c r="E22" s="173">
        <f>D22*C22</f>
        <v>10000</v>
      </c>
    </row>
    <row r="23" spans="1:5" customFormat="1" ht="14.5" x14ac:dyDescent="0.35">
      <c r="A23" s="106" t="s">
        <v>35</v>
      </c>
      <c r="B23" s="108"/>
      <c r="C23" s="108"/>
      <c r="D23" s="108"/>
      <c r="E23" s="108">
        <f>SUM(E20:E22)</f>
        <v>14600</v>
      </c>
    </row>
    <row r="24" spans="1:5" customFormat="1" ht="14.5" x14ac:dyDescent="0.35">
      <c r="A24" s="110" t="s">
        <v>50</v>
      </c>
      <c r="B24" s="118"/>
      <c r="C24" s="118"/>
      <c r="D24" s="118"/>
      <c r="E24" s="112">
        <f>+E23+E18</f>
        <v>39506</v>
      </c>
    </row>
    <row r="25" spans="1:5" ht="13.5" thickBot="1" x14ac:dyDescent="0.35">
      <c r="A25" s="38"/>
      <c r="B25" s="38"/>
      <c r="C25" s="38"/>
      <c r="D25" s="179"/>
      <c r="E25" s="179"/>
    </row>
    <row r="26" spans="1:5" ht="13.5" thickBot="1" x14ac:dyDescent="0.35">
      <c r="A26" s="76" t="s">
        <v>55</v>
      </c>
      <c r="B26" s="75"/>
      <c r="C26" s="75"/>
      <c r="D26" s="180"/>
      <c r="E26" s="180"/>
    </row>
    <row r="27" spans="1:5" x14ac:dyDescent="0.3">
      <c r="A27" s="46" t="s">
        <v>62</v>
      </c>
      <c r="B27" s="15" t="s">
        <v>63</v>
      </c>
      <c r="C27" s="202">
        <f>1283*1.25</f>
        <v>1603.75</v>
      </c>
      <c r="D27" s="13">
        <v>12</v>
      </c>
      <c r="E27" s="11">
        <f t="shared" ref="E27:E29" si="1">+C27*D27</f>
        <v>19245</v>
      </c>
    </row>
    <row r="28" spans="1:5" x14ac:dyDescent="0.3">
      <c r="A28" s="46" t="s">
        <v>64</v>
      </c>
      <c r="B28" s="15" t="s">
        <v>65</v>
      </c>
      <c r="C28" s="202">
        <v>2424.5500000000002</v>
      </c>
      <c r="D28" s="13">
        <v>12</v>
      </c>
      <c r="E28" s="11">
        <f t="shared" si="1"/>
        <v>29094.600000000002</v>
      </c>
    </row>
    <row r="29" spans="1:5" x14ac:dyDescent="0.3">
      <c r="A29" s="46" t="s">
        <v>67</v>
      </c>
      <c r="B29" s="15" t="s">
        <v>65</v>
      </c>
      <c r="C29" s="202">
        <v>1729.16</v>
      </c>
      <c r="D29" s="13">
        <v>12</v>
      </c>
      <c r="E29" s="11">
        <f t="shared" si="1"/>
        <v>20749.920000000002</v>
      </c>
    </row>
    <row r="30" spans="1:5" x14ac:dyDescent="0.3">
      <c r="A30" s="46" t="s">
        <v>73</v>
      </c>
      <c r="B30" s="15" t="s">
        <v>74</v>
      </c>
      <c r="C30" s="202">
        <f>65000*0.3/9</f>
        <v>2166.6666666666665</v>
      </c>
      <c r="D30" s="31">
        <v>12</v>
      </c>
      <c r="E30" s="173">
        <f>C30*D30</f>
        <v>26000</v>
      </c>
    </row>
    <row r="31" spans="1:5" x14ac:dyDescent="0.3">
      <c r="A31" s="113" t="s">
        <v>76</v>
      </c>
      <c r="B31" s="110"/>
      <c r="C31" s="110"/>
      <c r="D31" s="229"/>
      <c r="E31" s="112">
        <f>SUM(E27:E30)</f>
        <v>95089.52</v>
      </c>
    </row>
    <row r="32" spans="1:5" ht="13.5" thickBot="1" x14ac:dyDescent="0.35">
      <c r="A32" s="7"/>
      <c r="B32" s="28"/>
      <c r="C32" s="28"/>
      <c r="D32" s="28"/>
      <c r="E32" s="28"/>
    </row>
    <row r="33" spans="1:5" ht="13.5" thickBot="1" x14ac:dyDescent="0.35">
      <c r="A33" s="76" t="s">
        <v>77</v>
      </c>
      <c r="B33" s="75"/>
      <c r="C33" s="75"/>
      <c r="D33" s="180"/>
      <c r="E33" s="180"/>
    </row>
    <row r="34" spans="1:5" ht="13.5" thickBot="1" x14ac:dyDescent="0.35">
      <c r="A34" s="23" t="s">
        <v>266</v>
      </c>
      <c r="B34" s="22"/>
      <c r="C34" s="22"/>
      <c r="D34" s="178"/>
      <c r="E34" s="178"/>
    </row>
    <row r="35" spans="1:5" x14ac:dyDescent="0.3">
      <c r="A35" s="33" t="s">
        <v>267</v>
      </c>
      <c r="B35" s="193" t="s">
        <v>81</v>
      </c>
      <c r="C35" s="202">
        <v>5000</v>
      </c>
      <c r="D35" s="31">
        <v>2</v>
      </c>
      <c r="E35" s="173">
        <f>D35*C35</f>
        <v>10000</v>
      </c>
    </row>
    <row r="36" spans="1:5" x14ac:dyDescent="0.3">
      <c r="A36" s="33" t="s">
        <v>89</v>
      </c>
      <c r="B36" s="193" t="s">
        <v>90</v>
      </c>
      <c r="C36" s="202">
        <v>4400</v>
      </c>
      <c r="D36" s="31">
        <v>1</v>
      </c>
      <c r="E36" s="173">
        <f>C36*D36</f>
        <v>4400</v>
      </c>
    </row>
    <row r="37" spans="1:5" x14ac:dyDescent="0.3">
      <c r="A37" s="33" t="s">
        <v>91</v>
      </c>
      <c r="B37" s="193" t="s">
        <v>90</v>
      </c>
      <c r="C37" s="202">
        <v>4400</v>
      </c>
      <c r="D37" s="31">
        <v>1</v>
      </c>
      <c r="E37" s="173">
        <f>C37*D37</f>
        <v>4400</v>
      </c>
    </row>
    <row r="38" spans="1:5" x14ac:dyDescent="0.3">
      <c r="A38" s="14" t="s">
        <v>92</v>
      </c>
      <c r="B38" s="15" t="s">
        <v>93</v>
      </c>
      <c r="C38" s="202">
        <f>60000/9</f>
        <v>6666.666666666667</v>
      </c>
      <c r="D38" s="31">
        <v>2</v>
      </c>
      <c r="E38" s="173">
        <f>C38*D38</f>
        <v>13333.333333333334</v>
      </c>
    </row>
    <row r="39" spans="1:5" ht="13.5" thickBot="1" x14ac:dyDescent="0.35">
      <c r="A39" s="106" t="s">
        <v>87</v>
      </c>
      <c r="B39" s="107"/>
      <c r="C39" s="206"/>
      <c r="D39" s="206"/>
      <c r="E39" s="108">
        <f>SUM(E35:E38)</f>
        <v>32133.333333333336</v>
      </c>
    </row>
    <row r="40" spans="1:5" ht="13.5" thickBot="1" x14ac:dyDescent="0.35">
      <c r="A40" s="23" t="s">
        <v>96</v>
      </c>
      <c r="B40" s="22"/>
      <c r="C40" s="208"/>
      <c r="D40" s="230"/>
      <c r="E40" s="178"/>
    </row>
    <row r="41" spans="1:5" x14ac:dyDescent="0.3">
      <c r="A41" s="14" t="s">
        <v>98</v>
      </c>
      <c r="B41" s="15" t="s">
        <v>8</v>
      </c>
      <c r="C41" s="202">
        <v>4000</v>
      </c>
      <c r="D41" s="11">
        <v>1</v>
      </c>
      <c r="E41" s="173">
        <f t="shared" ref="E41:E44" si="2">D41*C41</f>
        <v>4000</v>
      </c>
    </row>
    <row r="42" spans="1:5" x14ac:dyDescent="0.3">
      <c r="A42" s="14" t="s">
        <v>275</v>
      </c>
      <c r="B42" s="15" t="s">
        <v>8</v>
      </c>
      <c r="C42" s="202">
        <v>500</v>
      </c>
      <c r="D42" s="11">
        <v>4</v>
      </c>
      <c r="E42" s="173">
        <f t="shared" si="2"/>
        <v>2000</v>
      </c>
    </row>
    <row r="43" spans="1:5" x14ac:dyDescent="0.3">
      <c r="A43" s="14" t="s">
        <v>102</v>
      </c>
      <c r="B43" s="15" t="s">
        <v>8</v>
      </c>
      <c r="C43" s="202">
        <v>4000</v>
      </c>
      <c r="D43" s="11">
        <v>1</v>
      </c>
      <c r="E43" s="173">
        <f t="shared" si="2"/>
        <v>4000</v>
      </c>
    </row>
    <row r="44" spans="1:5" x14ac:dyDescent="0.3">
      <c r="A44" s="14" t="s">
        <v>103</v>
      </c>
      <c r="B44" s="198" t="s">
        <v>8</v>
      </c>
      <c r="C44" s="202">
        <v>1500</v>
      </c>
      <c r="D44" s="13">
        <v>1</v>
      </c>
      <c r="E44" s="173">
        <f t="shared" si="2"/>
        <v>1500</v>
      </c>
    </row>
    <row r="45" spans="1:5" ht="13.5" thickBot="1" x14ac:dyDescent="0.35">
      <c r="A45" s="106" t="s">
        <v>104</v>
      </c>
      <c r="B45" s="107"/>
      <c r="C45" s="206"/>
      <c r="D45" s="206"/>
      <c r="E45" s="108">
        <f>SUM(E41:E44)</f>
        <v>11500</v>
      </c>
    </row>
    <row r="46" spans="1:5" ht="13.5" thickBot="1" x14ac:dyDescent="0.35">
      <c r="A46" s="23" t="s">
        <v>105</v>
      </c>
      <c r="B46" s="22"/>
      <c r="C46" s="208"/>
      <c r="D46" s="230"/>
      <c r="E46" s="178"/>
    </row>
    <row r="47" spans="1:5" x14ac:dyDescent="0.3">
      <c r="A47" s="61" t="s">
        <v>268</v>
      </c>
      <c r="B47" s="34" t="s">
        <v>269</v>
      </c>
      <c r="C47" s="202">
        <v>1500</v>
      </c>
      <c r="D47" s="13">
        <v>1</v>
      </c>
      <c r="E47" s="173">
        <f t="shared" ref="E47" si="3">D47*C47</f>
        <v>1500</v>
      </c>
    </row>
    <row r="48" spans="1:5" x14ac:dyDescent="0.3">
      <c r="A48" s="14" t="s">
        <v>106</v>
      </c>
      <c r="B48" s="15" t="s">
        <v>8</v>
      </c>
      <c r="C48" s="202">
        <v>2000</v>
      </c>
      <c r="D48" s="11">
        <v>1</v>
      </c>
      <c r="E48" s="173">
        <f>D48*C48</f>
        <v>2000</v>
      </c>
    </row>
    <row r="49" spans="1:9" x14ac:dyDescent="0.3">
      <c r="A49" s="106" t="s">
        <v>107</v>
      </c>
      <c r="B49" s="107"/>
      <c r="C49" s="206"/>
      <c r="D49" s="206"/>
      <c r="E49" s="108">
        <f>SUM(E47:E48)</f>
        <v>3500</v>
      </c>
    </row>
    <row r="50" spans="1:9" ht="13.5" thickBot="1" x14ac:dyDescent="0.35">
      <c r="A50" s="110" t="s">
        <v>108</v>
      </c>
      <c r="B50" s="110"/>
      <c r="C50" s="210"/>
      <c r="D50" s="231"/>
      <c r="E50" s="112">
        <f>SUM(E49,E45,E39)</f>
        <v>47133.333333333336</v>
      </c>
    </row>
    <row r="51" spans="1:9" ht="13.5" thickBot="1" x14ac:dyDescent="0.35">
      <c r="A51" s="23" t="s">
        <v>231</v>
      </c>
      <c r="B51" s="22"/>
      <c r="C51" s="208"/>
      <c r="D51" s="230"/>
      <c r="E51" s="178"/>
    </row>
    <row r="52" spans="1:9" x14ac:dyDescent="0.3">
      <c r="A52" s="235" t="s">
        <v>277</v>
      </c>
      <c r="B52" s="241" t="s">
        <v>276</v>
      </c>
      <c r="C52" s="236">
        <v>300</v>
      </c>
      <c r="D52" s="236">
        <v>400</v>
      </c>
      <c r="E52" s="237">
        <f>+D52*C52</f>
        <v>120000</v>
      </c>
      <c r="F52" s="238"/>
      <c r="G52" s="238"/>
      <c r="H52" s="239"/>
      <c r="I52" s="240"/>
    </row>
    <row r="53" spans="1:9" x14ac:dyDescent="0.3">
      <c r="A53" s="14" t="s">
        <v>279</v>
      </c>
      <c r="B53" s="15" t="s">
        <v>278</v>
      </c>
      <c r="C53" s="202">
        <f>168000*0.02</f>
        <v>3360</v>
      </c>
      <c r="D53" s="11">
        <v>1</v>
      </c>
      <c r="E53" s="173">
        <f>D53*C53</f>
        <v>3360</v>
      </c>
    </row>
    <row r="54" spans="1:9" x14ac:dyDescent="0.3">
      <c r="A54" s="106" t="s">
        <v>107</v>
      </c>
      <c r="B54" s="107"/>
      <c r="C54" s="206"/>
      <c r="D54" s="206"/>
      <c r="E54" s="108">
        <f>SUM(E52:E53)</f>
        <v>123360</v>
      </c>
    </row>
    <row r="55" spans="1:9" x14ac:dyDescent="0.3">
      <c r="A55" s="110" t="s">
        <v>108</v>
      </c>
      <c r="B55" s="110"/>
      <c r="C55" s="210"/>
      <c r="D55" s="231"/>
      <c r="E55" s="112">
        <f>SUM(E54,E50,E44)</f>
        <v>171993.33333333334</v>
      </c>
    </row>
    <row r="56" spans="1:9" ht="13.5" thickBot="1" x14ac:dyDescent="0.35">
      <c r="A56" s="30"/>
      <c r="B56" s="29"/>
      <c r="C56" s="29"/>
      <c r="D56" s="29"/>
      <c r="E56" s="29"/>
    </row>
    <row r="57" spans="1:9" ht="13.5" thickBot="1" x14ac:dyDescent="0.35">
      <c r="A57" s="124" t="s">
        <v>109</v>
      </c>
      <c r="B57" s="125"/>
      <c r="C57" s="212"/>
      <c r="D57" s="232"/>
      <c r="E57" s="181"/>
    </row>
    <row r="58" spans="1:9" x14ac:dyDescent="0.3">
      <c r="A58" s="61" t="s">
        <v>262</v>
      </c>
      <c r="B58" s="34" t="s">
        <v>117</v>
      </c>
      <c r="C58" s="202">
        <v>200</v>
      </c>
      <c r="D58" s="13">
        <v>12</v>
      </c>
      <c r="E58" s="173">
        <f t="shared" ref="E58:E60" si="4">D58*C58</f>
        <v>2400</v>
      </c>
    </row>
    <row r="59" spans="1:9" x14ac:dyDescent="0.3">
      <c r="A59" s="61" t="s">
        <v>263</v>
      </c>
      <c r="B59" s="34" t="s">
        <v>117</v>
      </c>
      <c r="C59" s="202">
        <v>375</v>
      </c>
      <c r="D59" s="13">
        <v>12</v>
      </c>
      <c r="E59" s="173">
        <f t="shared" si="4"/>
        <v>4500</v>
      </c>
    </row>
    <row r="60" spans="1:9" x14ac:dyDescent="0.3">
      <c r="A60" s="61" t="s">
        <v>264</v>
      </c>
      <c r="B60" s="34" t="s">
        <v>117</v>
      </c>
      <c r="C60" s="202">
        <v>2800</v>
      </c>
      <c r="D60" s="13">
        <v>12</v>
      </c>
      <c r="E60" s="173">
        <f t="shared" si="4"/>
        <v>33600</v>
      </c>
    </row>
    <row r="61" spans="1:9" x14ac:dyDescent="0.3">
      <c r="A61" s="61" t="s">
        <v>265</v>
      </c>
      <c r="B61" s="34" t="s">
        <v>117</v>
      </c>
      <c r="C61" s="202">
        <v>1500</v>
      </c>
      <c r="D61" s="13">
        <v>12</v>
      </c>
      <c r="E61" s="173">
        <f>C61*D61</f>
        <v>18000</v>
      </c>
    </row>
    <row r="62" spans="1:9" x14ac:dyDescent="0.3">
      <c r="A62" s="61" t="s">
        <v>124</v>
      </c>
      <c r="B62" s="34" t="s">
        <v>117</v>
      </c>
      <c r="C62" s="202">
        <f>1182</f>
        <v>1182</v>
      </c>
      <c r="D62" s="13">
        <v>12</v>
      </c>
      <c r="E62" s="173">
        <f>C62*D62</f>
        <v>14184</v>
      </c>
    </row>
    <row r="63" spans="1:9" x14ac:dyDescent="0.3">
      <c r="A63" s="110" t="s">
        <v>125</v>
      </c>
      <c r="B63" s="110"/>
      <c r="C63" s="110"/>
      <c r="D63" s="229"/>
      <c r="E63" s="112">
        <f>SUM(E58:E62)</f>
        <v>72684</v>
      </c>
    </row>
    <row r="65" spans="1:19" s="26" customFormat="1" x14ac:dyDescent="0.3">
      <c r="A65" s="110" t="s">
        <v>238</v>
      </c>
      <c r="B65" s="110"/>
      <c r="C65" s="110"/>
      <c r="D65" s="229"/>
      <c r="E65" s="112">
        <f>E10+E24+E31+E50+E63+E55</f>
        <v>643606.18666666665</v>
      </c>
      <c r="F65" s="233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  <c r="S65" s="226"/>
    </row>
  </sheetData>
  <pageMargins left="0.25" right="0.25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721F0-3F47-49A2-8309-16D07D22B962}">
  <sheetPr>
    <pageSetUpPr fitToPage="1"/>
  </sheetPr>
  <dimension ref="A1:W292"/>
  <sheetViews>
    <sheetView zoomScale="70" zoomScaleNormal="70" zoomScaleSheetLayoutView="100" workbookViewId="0">
      <pane ySplit="9" topLeftCell="A253" activePane="bottomLeft" state="frozen"/>
      <selection activeCell="D1" sqref="D1"/>
      <selection pane="bottomLeft" activeCell="G282" sqref="G282"/>
    </sheetView>
  </sheetViews>
  <sheetFormatPr defaultColWidth="9.1796875" defaultRowHeight="13" outlineLevelRow="1" outlineLevelCol="1" x14ac:dyDescent="0.3"/>
  <cols>
    <col min="1" max="1" width="10.54296875" style="100" bestFit="1" customWidth="1" outlineLevel="1"/>
    <col min="2" max="2" width="9.54296875" style="100" customWidth="1" outlineLevel="1"/>
    <col min="3" max="3" width="134.453125" style="1" bestFit="1" customWidth="1"/>
    <col min="4" max="4" width="29.453125" style="2" bestFit="1" customWidth="1" outlineLevel="1"/>
    <col min="5" max="5" width="15.453125" style="2" bestFit="1" customWidth="1" outlineLevel="1"/>
    <col min="6" max="6" width="12.1796875" style="58" customWidth="1" outlineLevel="1"/>
    <col min="7" max="7" width="31" style="58" customWidth="1" outlineLevel="1"/>
    <col min="8" max="9" width="19.453125" style="58" customWidth="1" outlineLevel="1"/>
    <col min="10" max="10" width="20.54296875" style="156" customWidth="1"/>
    <col min="11" max="11" width="20.54296875" style="135" customWidth="1"/>
    <col min="12" max="12" width="17.81640625" style="2" hidden="1" customWidth="1" outlineLevel="1"/>
    <col min="13" max="14" width="18.1796875" style="2" hidden="1" customWidth="1" outlineLevel="1"/>
    <col min="15" max="15" width="57.1796875" style="2" hidden="1" customWidth="1" outlineLevel="1"/>
    <col min="16" max="16" width="8.54296875" style="57" bestFit="1" customWidth="1" collapsed="1"/>
    <col min="17" max="17" width="10.1796875" style="57" bestFit="1" customWidth="1"/>
    <col min="18" max="21" width="8.1796875" style="1" hidden="1" customWidth="1" outlineLevel="1"/>
    <col min="22" max="22" width="9.1796875" style="1" collapsed="1"/>
    <col min="23" max="16384" width="9.1796875" style="1"/>
  </cols>
  <sheetData>
    <row r="1" spans="1:21" ht="15.5" x14ac:dyDescent="0.35">
      <c r="A1" s="99" t="s">
        <v>126</v>
      </c>
      <c r="C1" s="3" t="s">
        <v>127</v>
      </c>
      <c r="G1" s="3" t="s">
        <v>128</v>
      </c>
      <c r="H1" s="137" t="s">
        <v>129</v>
      </c>
      <c r="J1" s="151"/>
      <c r="K1" s="130"/>
      <c r="L1" s="1"/>
    </row>
    <row r="2" spans="1:21" x14ac:dyDescent="0.3">
      <c r="C2" s="3" t="s">
        <v>130</v>
      </c>
      <c r="G2" s="3" t="s">
        <v>131</v>
      </c>
      <c r="H2" s="92">
        <v>44581</v>
      </c>
      <c r="J2" s="151"/>
      <c r="K2" s="130"/>
      <c r="L2" s="1"/>
    </row>
    <row r="3" spans="1:21" ht="14.5" x14ac:dyDescent="0.35">
      <c r="C3" s="3" t="s">
        <v>132</v>
      </c>
      <c r="G3" s="3" t="s">
        <v>133</v>
      </c>
      <c r="H3" s="137" t="s">
        <v>134</v>
      </c>
      <c r="J3" s="151"/>
      <c r="K3" s="130"/>
      <c r="L3" s="1"/>
      <c r="M3" s="56"/>
      <c r="N3" s="56"/>
      <c r="O3" s="56"/>
      <c r="P3" s="91"/>
      <c r="Q3" s="91"/>
    </row>
    <row r="4" spans="1:21" ht="14.5" x14ac:dyDescent="0.35">
      <c r="C4" s="3" t="s">
        <v>135</v>
      </c>
      <c r="G4" s="3" t="s">
        <v>136</v>
      </c>
      <c r="H4" s="137" t="s">
        <v>137</v>
      </c>
      <c r="J4" s="169"/>
      <c r="K4" s="130"/>
      <c r="L4" s="1"/>
      <c r="M4" s="56"/>
      <c r="N4" s="56"/>
      <c r="O4" s="56"/>
      <c r="P4" s="91"/>
      <c r="Q4" s="91"/>
    </row>
    <row r="5" spans="1:21" ht="15" thickBot="1" x14ac:dyDescent="0.4">
      <c r="G5" s="3" t="s">
        <v>138</v>
      </c>
      <c r="H5" s="137" t="s">
        <v>139</v>
      </c>
      <c r="J5" s="172">
        <f>1/J6</f>
        <v>9.0856229103067303</v>
      </c>
      <c r="K5" s="130"/>
      <c r="L5" s="1"/>
      <c r="M5" s="56"/>
      <c r="N5" s="56"/>
      <c r="O5" s="56"/>
      <c r="P5" s="91"/>
      <c r="Q5" s="91"/>
    </row>
    <row r="6" spans="1:21" ht="15" thickBot="1" x14ac:dyDescent="0.35">
      <c r="G6" s="3" t="s">
        <v>140</v>
      </c>
      <c r="H6" s="92">
        <v>44470</v>
      </c>
      <c r="I6" s="93">
        <v>44561</v>
      </c>
      <c r="J6" s="167">
        <v>0.110064</v>
      </c>
      <c r="K6" s="147">
        <v>1</v>
      </c>
      <c r="L6" s="1"/>
      <c r="M6" s="56"/>
      <c r="N6" s="56"/>
      <c r="O6" s="56"/>
      <c r="P6" s="91"/>
      <c r="Q6" s="91"/>
    </row>
    <row r="7" spans="1:21" ht="14.5" x14ac:dyDescent="0.3">
      <c r="G7" s="3" t="s">
        <v>141</v>
      </c>
      <c r="H7" s="92">
        <v>44652</v>
      </c>
      <c r="I7" s="93">
        <v>45016</v>
      </c>
      <c r="J7" s="151"/>
      <c r="K7" s="130"/>
      <c r="L7" s="1"/>
      <c r="M7" s="56"/>
      <c r="N7" s="56"/>
      <c r="O7" s="56"/>
      <c r="P7" s="91"/>
      <c r="Q7" s="91"/>
    </row>
    <row r="8" spans="1:21" ht="14.5" x14ac:dyDescent="0.3">
      <c r="C8" s="2" t="s">
        <v>142</v>
      </c>
      <c r="E8" s="234"/>
      <c r="F8" s="234"/>
      <c r="G8" s="3" t="s">
        <v>143</v>
      </c>
      <c r="H8" s="92">
        <v>44652</v>
      </c>
      <c r="I8" s="92">
        <v>44742</v>
      </c>
      <c r="J8" s="151"/>
      <c r="K8" s="130"/>
      <c r="L8" s="1"/>
      <c r="M8" s="56"/>
      <c r="N8" s="56"/>
      <c r="O8" s="56"/>
      <c r="P8" s="91"/>
      <c r="Q8" s="91"/>
      <c r="R8" s="55" t="s">
        <v>144</v>
      </c>
      <c r="S8" s="55"/>
      <c r="T8" s="55"/>
      <c r="U8" s="55"/>
    </row>
    <row r="9" spans="1:21" s="84" customFormat="1" ht="45.65" customHeight="1" x14ac:dyDescent="0.3">
      <c r="A9" s="85" t="s">
        <v>145</v>
      </c>
      <c r="B9" s="85" t="s">
        <v>146</v>
      </c>
      <c r="C9" s="88"/>
      <c r="D9" s="85" t="s">
        <v>147</v>
      </c>
      <c r="E9" s="85" t="s">
        <v>148</v>
      </c>
      <c r="F9" s="87" t="s">
        <v>149</v>
      </c>
      <c r="G9" s="85" t="s">
        <v>150</v>
      </c>
      <c r="H9" s="85" t="s">
        <v>151</v>
      </c>
      <c r="I9" s="85" t="s">
        <v>152</v>
      </c>
      <c r="J9" s="152" t="s">
        <v>153</v>
      </c>
      <c r="K9" s="131" t="s">
        <v>154</v>
      </c>
      <c r="L9" s="85" t="s">
        <v>155</v>
      </c>
      <c r="M9" s="85" t="s">
        <v>156</v>
      </c>
      <c r="N9" s="85" t="s">
        <v>157</v>
      </c>
      <c r="O9" s="85" t="s">
        <v>158</v>
      </c>
      <c r="P9" s="86" t="s">
        <v>159</v>
      </c>
      <c r="Q9" s="86" t="s">
        <v>160</v>
      </c>
      <c r="R9" s="85" t="s">
        <v>161</v>
      </c>
      <c r="S9" s="85" t="s">
        <v>162</v>
      </c>
      <c r="T9" s="85" t="s">
        <v>163</v>
      </c>
      <c r="U9" s="85" t="s">
        <v>164</v>
      </c>
    </row>
    <row r="10" spans="1:21" s="84" customFormat="1" ht="30.65" customHeight="1" x14ac:dyDescent="0.3">
      <c r="A10" s="85"/>
      <c r="B10" s="85"/>
      <c r="C10" s="88"/>
      <c r="D10" s="85"/>
      <c r="E10" s="222"/>
      <c r="F10" s="87"/>
      <c r="G10" s="85"/>
      <c r="H10" s="85"/>
      <c r="I10" s="85"/>
      <c r="J10" s="152"/>
      <c r="K10" s="131"/>
      <c r="L10" s="85"/>
      <c r="M10" s="85"/>
      <c r="N10" s="85"/>
      <c r="O10" s="85"/>
      <c r="P10" s="86"/>
      <c r="Q10" s="86"/>
      <c r="R10" s="85"/>
      <c r="S10" s="85"/>
      <c r="T10" s="85"/>
      <c r="U10" s="85"/>
    </row>
    <row r="11" spans="1:21" s="84" customFormat="1" x14ac:dyDescent="0.3">
      <c r="A11" s="85"/>
      <c r="B11" s="85"/>
      <c r="D11" s="94" t="s">
        <v>165</v>
      </c>
      <c r="E11" s="221"/>
      <c r="F11" s="221"/>
      <c r="G11" s="90">
        <f>+G44+G90</f>
        <v>0</v>
      </c>
      <c r="H11" s="90">
        <f t="shared" ref="H11:M11" si="0">+H44+H90+H116+H150</f>
        <v>356625.66000000003</v>
      </c>
      <c r="I11" s="90">
        <f t="shared" si="0"/>
        <v>0</v>
      </c>
      <c r="J11" s="90">
        <f t="shared" si="0"/>
        <v>3240166.2668992588</v>
      </c>
      <c r="K11" s="90">
        <f t="shared" si="0"/>
        <v>0</v>
      </c>
      <c r="L11" s="90">
        <f t="shared" si="0"/>
        <v>0</v>
      </c>
      <c r="M11" s="90">
        <f t="shared" si="0"/>
        <v>3240166.2668992588</v>
      </c>
      <c r="N11" s="90">
        <f>+N44+N90</f>
        <v>0</v>
      </c>
      <c r="O11" s="85"/>
      <c r="P11" s="86"/>
      <c r="Q11" s="86"/>
      <c r="R11" s="85"/>
      <c r="S11" s="85"/>
      <c r="T11" s="85"/>
      <c r="U11" s="85"/>
    </row>
    <row r="12" spans="1:21" s="84" customFormat="1" x14ac:dyDescent="0.3">
      <c r="A12" s="85"/>
      <c r="B12" s="85"/>
      <c r="D12" s="94" t="s">
        <v>166</v>
      </c>
      <c r="E12" s="221"/>
      <c r="F12" s="221"/>
      <c r="G12" s="90">
        <f>+G179</f>
        <v>0</v>
      </c>
      <c r="H12" s="90">
        <f>+H179</f>
        <v>218204.484</v>
      </c>
      <c r="I12" s="90">
        <f>+I179</f>
        <v>0</v>
      </c>
      <c r="J12" s="140">
        <f>+J179</f>
        <v>1982523.6589620586</v>
      </c>
      <c r="K12" s="143">
        <f t="shared" ref="K12" si="1">+K179</f>
        <v>0</v>
      </c>
      <c r="L12" s="90">
        <f>+L179</f>
        <v>0</v>
      </c>
      <c r="M12" s="90">
        <f>+M179</f>
        <v>1982523.6589620586</v>
      </c>
      <c r="N12" s="90">
        <f>+N179</f>
        <v>0</v>
      </c>
      <c r="O12" s="85"/>
      <c r="P12" s="86"/>
      <c r="Q12" s="86"/>
      <c r="R12" s="85"/>
      <c r="S12" s="85"/>
      <c r="T12" s="85"/>
      <c r="U12" s="85"/>
    </row>
    <row r="13" spans="1:21" s="84" customFormat="1" x14ac:dyDescent="0.3">
      <c r="A13" s="85"/>
      <c r="B13" s="85"/>
      <c r="D13" s="94" t="s">
        <v>167</v>
      </c>
      <c r="E13" s="221"/>
      <c r="F13" s="221"/>
      <c r="G13" s="90">
        <f>+G246</f>
        <v>0</v>
      </c>
      <c r="H13" s="90">
        <f t="shared" ref="H13:N13" ca="1" si="2">+H246</f>
        <v>123878.784224</v>
      </c>
      <c r="I13" s="90">
        <f t="shared" si="2"/>
        <v>0</v>
      </c>
      <c r="J13" s="140">
        <f t="shared" si="2"/>
        <v>1125515.9200465186</v>
      </c>
      <c r="K13" s="143">
        <f t="shared" ref="K13" si="3">+K246</f>
        <v>0</v>
      </c>
      <c r="L13" s="90">
        <f t="shared" si="2"/>
        <v>0</v>
      </c>
      <c r="M13" s="140">
        <f t="shared" si="2"/>
        <v>1125515.9200465186</v>
      </c>
      <c r="N13" s="90">
        <f t="shared" si="2"/>
        <v>0</v>
      </c>
      <c r="O13" s="85"/>
      <c r="P13" s="86"/>
      <c r="Q13" s="86"/>
      <c r="R13" s="85"/>
      <c r="S13" s="85"/>
      <c r="T13" s="85"/>
      <c r="U13" s="85"/>
    </row>
    <row r="14" spans="1:21" s="84" customFormat="1" x14ac:dyDescent="0.3">
      <c r="A14" s="85"/>
      <c r="B14" s="85"/>
      <c r="D14" s="94" t="s">
        <v>110</v>
      </c>
      <c r="E14" s="221"/>
      <c r="F14" s="221"/>
      <c r="G14" s="90">
        <f>+G264</f>
        <v>0</v>
      </c>
      <c r="H14" s="90">
        <f t="shared" ref="H14:N14" si="4">+H264</f>
        <v>124199.51999999999</v>
      </c>
      <c r="I14" s="90">
        <f t="shared" si="4"/>
        <v>0</v>
      </c>
      <c r="J14" s="140">
        <f t="shared" si="4"/>
        <v>1128430.0043610991</v>
      </c>
      <c r="K14" s="143">
        <f t="shared" ref="K14" si="5">+K264</f>
        <v>0</v>
      </c>
      <c r="L14" s="90">
        <f t="shared" si="4"/>
        <v>0</v>
      </c>
      <c r="M14" s="90">
        <f t="shared" si="4"/>
        <v>1128430.0043610991</v>
      </c>
      <c r="N14" s="90">
        <f t="shared" si="4"/>
        <v>0</v>
      </c>
      <c r="O14" s="85"/>
      <c r="P14" s="86"/>
      <c r="Q14" s="86"/>
      <c r="R14" s="85"/>
      <c r="S14" s="85"/>
      <c r="T14" s="85"/>
      <c r="U14" s="85"/>
    </row>
    <row r="15" spans="1:21" s="84" customFormat="1" x14ac:dyDescent="0.3">
      <c r="A15" s="85"/>
      <c r="B15" s="85"/>
      <c r="D15" s="94" t="s">
        <v>168</v>
      </c>
      <c r="E15" s="221"/>
      <c r="F15" s="221"/>
      <c r="G15" s="90">
        <f>+G271</f>
        <v>0</v>
      </c>
      <c r="H15" s="90">
        <f t="shared" ref="H15:N15" si="6">+H271</f>
        <v>57603.588785046777</v>
      </c>
      <c r="I15" s="90">
        <f t="shared" si="6"/>
        <v>0</v>
      </c>
      <c r="J15" s="140">
        <f t="shared" si="6"/>
        <v>523364.48598130886</v>
      </c>
      <c r="K15" s="140">
        <f t="shared" ref="K15" si="7">+K271</f>
        <v>0</v>
      </c>
      <c r="L15" s="90">
        <f t="shared" si="6"/>
        <v>0</v>
      </c>
      <c r="M15" s="90">
        <f t="shared" si="6"/>
        <v>523364.48598130886</v>
      </c>
      <c r="N15" s="90">
        <f t="shared" si="6"/>
        <v>0</v>
      </c>
      <c r="O15" s="85"/>
      <c r="P15" s="86"/>
      <c r="Q15" s="86"/>
      <c r="R15" s="85"/>
      <c r="S15" s="85"/>
      <c r="T15" s="85"/>
      <c r="U15" s="85"/>
    </row>
    <row r="16" spans="1:21" s="84" customFormat="1" x14ac:dyDescent="0.3">
      <c r="A16" s="85"/>
      <c r="B16" s="85"/>
      <c r="D16" s="95" t="s">
        <v>169</v>
      </c>
      <c r="E16" s="222"/>
      <c r="F16" s="221"/>
      <c r="G16" s="89">
        <f t="shared" ref="G16:N16" si="8">SUM(G11:G15)</f>
        <v>0</v>
      </c>
      <c r="H16" s="89">
        <f t="shared" ca="1" si="8"/>
        <v>880512.037009047</v>
      </c>
      <c r="I16" s="89">
        <f t="shared" si="8"/>
        <v>0</v>
      </c>
      <c r="J16" s="141">
        <f>SUM(J11:J15)</f>
        <v>8000000.3362502446</v>
      </c>
      <c r="K16" s="141">
        <f t="shared" si="8"/>
        <v>0</v>
      </c>
      <c r="L16" s="89">
        <f t="shared" si="8"/>
        <v>0</v>
      </c>
      <c r="M16" s="89">
        <f t="shared" si="8"/>
        <v>8000000.3362502446</v>
      </c>
      <c r="N16" s="89">
        <f t="shared" si="8"/>
        <v>0</v>
      </c>
      <c r="O16" s="85"/>
      <c r="P16" s="86"/>
      <c r="Q16" s="86"/>
      <c r="R16" s="85"/>
      <c r="S16" s="85"/>
      <c r="T16" s="85"/>
      <c r="U16" s="85"/>
    </row>
    <row r="17" spans="1:21" s="84" customFormat="1" ht="30.65" customHeight="1" thickBot="1" x14ac:dyDescent="0.35">
      <c r="A17" s="85"/>
      <c r="B17" s="85"/>
      <c r="C17" s="88"/>
      <c r="D17" s="85"/>
      <c r="E17" s="85"/>
      <c r="F17" s="87"/>
      <c r="G17" s="85"/>
      <c r="H17" s="85"/>
      <c r="I17" s="192"/>
      <c r="J17" s="190"/>
      <c r="K17" s="142">
        <f>SUM(K11:K14)</f>
        <v>0</v>
      </c>
      <c r="L17" s="85">
        <f>K17*0.07</f>
        <v>0</v>
      </c>
      <c r="M17" s="85"/>
      <c r="N17" s="85"/>
      <c r="O17" s="85"/>
      <c r="P17" s="86"/>
      <c r="Q17" s="86"/>
      <c r="R17" s="85"/>
      <c r="S17" s="85"/>
      <c r="T17" s="85"/>
      <c r="U17" s="85"/>
    </row>
    <row r="18" spans="1:21" ht="16.399999999999999" customHeight="1" thickBot="1" x14ac:dyDescent="0.35">
      <c r="A18" s="96"/>
      <c r="B18" s="96"/>
      <c r="C18" s="113" t="s">
        <v>170</v>
      </c>
      <c r="D18" s="113"/>
      <c r="E18" s="113"/>
      <c r="F18" s="114"/>
      <c r="G18" s="114"/>
      <c r="H18" s="114">
        <f ca="1">+H16</f>
        <v>880512.037009047</v>
      </c>
      <c r="I18" s="114">
        <f>+I16</f>
        <v>0</v>
      </c>
      <c r="J18" s="153">
        <f>+J16</f>
        <v>8000000.3362502446</v>
      </c>
      <c r="K18" s="132">
        <f>+K16</f>
        <v>0</v>
      </c>
      <c r="L18" s="115"/>
      <c r="M18" s="115"/>
      <c r="N18" s="115"/>
      <c r="O18" s="115"/>
      <c r="P18" s="59"/>
      <c r="Q18" s="59"/>
      <c r="R18" s="41"/>
      <c r="S18" s="40"/>
      <c r="T18" s="40"/>
      <c r="U18" s="39"/>
    </row>
    <row r="19" spans="1:21" s="84" customFormat="1" ht="17.5" customHeight="1" thickBot="1" x14ac:dyDescent="0.35">
      <c r="A19" s="85"/>
      <c r="B19" s="85"/>
      <c r="C19" s="88"/>
      <c r="D19" s="85"/>
      <c r="E19" s="85"/>
      <c r="F19" s="87"/>
      <c r="G19" s="85"/>
      <c r="H19" s="85"/>
      <c r="I19" s="85"/>
      <c r="J19" s="152"/>
      <c r="K19" s="131"/>
      <c r="L19" s="85"/>
      <c r="M19" s="85"/>
      <c r="N19" s="85"/>
      <c r="O19" s="85"/>
      <c r="P19" s="86"/>
      <c r="Q19" s="86"/>
      <c r="R19" s="85"/>
      <c r="S19" s="85"/>
      <c r="T19" s="85"/>
      <c r="U19" s="85"/>
    </row>
    <row r="20" spans="1:21" ht="16.399999999999999" customHeight="1" thickBot="1" x14ac:dyDescent="0.35">
      <c r="A20" s="96"/>
      <c r="B20" s="96"/>
      <c r="C20" s="44" t="s">
        <v>171</v>
      </c>
      <c r="D20" s="43"/>
      <c r="E20" s="43"/>
      <c r="F20" s="83"/>
      <c r="G20" s="83"/>
      <c r="H20" s="83"/>
      <c r="I20" s="83"/>
      <c r="J20" s="154"/>
      <c r="K20" s="133"/>
      <c r="L20" s="40"/>
      <c r="M20" s="40"/>
      <c r="N20" s="40"/>
      <c r="O20" s="39"/>
      <c r="P20" s="59"/>
      <c r="Q20" s="59">
        <f t="shared" ref="Q20:Q25" si="9">+J20-L20-M20-N20</f>
        <v>0</v>
      </c>
      <c r="R20" s="41"/>
      <c r="S20" s="40"/>
      <c r="T20" s="40"/>
      <c r="U20" s="39"/>
    </row>
    <row r="21" spans="1:21" s="3" customFormat="1" ht="13.5" thickBot="1" x14ac:dyDescent="0.35">
      <c r="A21" s="96"/>
      <c r="B21" s="96"/>
      <c r="C21" s="76" t="s">
        <v>172</v>
      </c>
      <c r="D21" s="75"/>
      <c r="E21" s="75"/>
      <c r="F21" s="74"/>
      <c r="G21" s="74"/>
      <c r="H21" s="74"/>
      <c r="I21" s="74"/>
      <c r="J21" s="155"/>
      <c r="K21" s="134"/>
      <c r="L21" s="73"/>
      <c r="M21" s="73"/>
      <c r="N21" s="73"/>
      <c r="O21" s="120"/>
      <c r="P21" s="59"/>
      <c r="Q21" s="59">
        <f t="shared" si="9"/>
        <v>0</v>
      </c>
    </row>
    <row r="22" spans="1:21" ht="13.5" thickBot="1" x14ac:dyDescent="0.35">
      <c r="C22" s="3"/>
      <c r="D22" s="37"/>
      <c r="E22" s="37"/>
      <c r="F22" s="81"/>
      <c r="G22" s="81"/>
      <c r="H22" s="81"/>
      <c r="I22" s="81"/>
      <c r="P22" s="59"/>
      <c r="Q22" s="59">
        <f t="shared" si="9"/>
        <v>0</v>
      </c>
      <c r="R22" s="2"/>
      <c r="S22" s="2"/>
      <c r="T22" s="2"/>
      <c r="U22" s="2"/>
    </row>
    <row r="23" spans="1:21" s="3" customFormat="1" ht="13.5" outlineLevel="1" thickBot="1" x14ac:dyDescent="0.35">
      <c r="A23" s="96"/>
      <c r="B23" s="96"/>
      <c r="C23" s="23" t="s">
        <v>1</v>
      </c>
      <c r="D23" s="22"/>
      <c r="E23" s="22"/>
      <c r="F23" s="69"/>
      <c r="G23" s="69"/>
      <c r="H23" s="69"/>
      <c r="I23" s="69"/>
      <c r="J23" s="157"/>
      <c r="K23" s="136"/>
      <c r="L23" s="20"/>
      <c r="M23" s="20"/>
      <c r="N23" s="20"/>
      <c r="O23" s="19"/>
      <c r="P23" s="59"/>
      <c r="Q23" s="59">
        <f t="shared" si="9"/>
        <v>0</v>
      </c>
      <c r="R23" s="21"/>
      <c r="S23" s="20"/>
      <c r="T23" s="20"/>
      <c r="U23" s="19"/>
    </row>
    <row r="24" spans="1:21" outlineLevel="1" x14ac:dyDescent="0.3">
      <c r="C24" s="30"/>
      <c r="D24" s="37"/>
      <c r="E24" s="37"/>
      <c r="F24" s="81"/>
      <c r="G24" s="81"/>
      <c r="H24" s="81"/>
      <c r="I24" s="81"/>
      <c r="P24" s="59"/>
      <c r="Q24" s="59">
        <f t="shared" si="9"/>
        <v>0</v>
      </c>
      <c r="R24" s="2"/>
      <c r="S24" s="2"/>
      <c r="T24" s="2"/>
      <c r="U24" s="2"/>
    </row>
    <row r="25" spans="1:21" s="3" customFormat="1" outlineLevel="1" x14ac:dyDescent="0.3">
      <c r="A25" s="96"/>
      <c r="B25" s="96"/>
      <c r="C25" s="36" t="s">
        <v>2</v>
      </c>
      <c r="D25" s="36"/>
      <c r="E25" s="36"/>
      <c r="F25" s="36"/>
      <c r="G25" s="36">
        <f>SUM(G30:G32)</f>
        <v>0</v>
      </c>
      <c r="H25" s="36">
        <f>SUM(H26:H32)</f>
        <v>20512.66</v>
      </c>
      <c r="I25" s="36">
        <f>SUM(I30:I32)</f>
        <v>0</v>
      </c>
      <c r="J25" s="158">
        <f>SUM(J26:J32)</f>
        <v>186370.29364733247</v>
      </c>
      <c r="K25" s="158">
        <f>SUM(K30:K32)</f>
        <v>0</v>
      </c>
      <c r="L25" s="36">
        <f>SUM(L30:L32)</f>
        <v>0</v>
      </c>
      <c r="M25" s="36">
        <f>SUM(M26:M32)</f>
        <v>186370.29364733247</v>
      </c>
      <c r="N25" s="36">
        <f>SUM(N30:N32)</f>
        <v>0</v>
      </c>
      <c r="O25" s="36"/>
      <c r="P25" s="59">
        <f>+J25-M25</f>
        <v>0</v>
      </c>
      <c r="Q25" s="59">
        <f t="shared" si="9"/>
        <v>0</v>
      </c>
      <c r="R25" s="34"/>
      <c r="S25" s="34"/>
      <c r="T25" s="34"/>
      <c r="U25" s="34"/>
    </row>
    <row r="26" spans="1:21" s="26" customFormat="1" outlineLevel="1" x14ac:dyDescent="0.3">
      <c r="A26" s="96" t="s">
        <v>173</v>
      </c>
      <c r="B26" s="96"/>
      <c r="C26" s="14" t="s">
        <v>3</v>
      </c>
      <c r="D26" s="15" t="s">
        <v>4</v>
      </c>
      <c r="E26" s="202">
        <v>514</v>
      </c>
      <c r="F26" s="60">
        <v>2</v>
      </c>
      <c r="G26" s="66"/>
      <c r="H26" s="173">
        <f>F26*E26</f>
        <v>1028</v>
      </c>
      <c r="I26" s="11"/>
      <c r="J26" s="139">
        <f t="shared" ref="J26:J32" si="10">E26*F26/$J$6</f>
        <v>9340.0203517953196</v>
      </c>
      <c r="K26" s="139"/>
      <c r="L26" s="12"/>
      <c r="M26" s="12">
        <f t="shared" ref="M26:M32" si="11">J26</f>
        <v>9340.0203517953196</v>
      </c>
      <c r="N26" s="12"/>
      <c r="O26" s="12"/>
      <c r="P26" s="59">
        <f t="shared" ref="P26:P45" si="12">+J26-M26</f>
        <v>0</v>
      </c>
      <c r="Q26" s="59"/>
      <c r="R26" s="11"/>
      <c r="S26" s="11"/>
      <c r="T26" s="11"/>
      <c r="U26" s="11"/>
    </row>
    <row r="27" spans="1:21" s="26" customFormat="1" outlineLevel="1" x14ac:dyDescent="0.3">
      <c r="A27" s="96" t="s">
        <v>173</v>
      </c>
      <c r="B27" s="96"/>
      <c r="C27" s="14" t="s">
        <v>5</v>
      </c>
      <c r="D27" s="15" t="s">
        <v>6</v>
      </c>
      <c r="E27" s="202">
        <v>367.33</v>
      </c>
      <c r="F27" s="60">
        <v>2</v>
      </c>
      <c r="G27" s="66"/>
      <c r="H27" s="173">
        <f>F27*E27</f>
        <v>734.66</v>
      </c>
      <c r="I27" s="11"/>
      <c r="J27" s="139">
        <f t="shared" si="10"/>
        <v>6674.8437272859428</v>
      </c>
      <c r="K27" s="139"/>
      <c r="L27" s="12"/>
      <c r="M27" s="12">
        <f t="shared" si="11"/>
        <v>6674.8437272859428</v>
      </c>
      <c r="N27" s="12"/>
      <c r="O27" s="12"/>
      <c r="P27" s="59">
        <f t="shared" si="12"/>
        <v>0</v>
      </c>
      <c r="Q27" s="59"/>
      <c r="R27" s="11"/>
      <c r="S27" s="11"/>
      <c r="T27" s="11"/>
      <c r="U27" s="11"/>
    </row>
    <row r="28" spans="1:21" s="26" customFormat="1" outlineLevel="1" x14ac:dyDescent="0.3">
      <c r="A28" s="96" t="s">
        <v>173</v>
      </c>
      <c r="B28" s="96"/>
      <c r="C28" s="14" t="s">
        <v>7</v>
      </c>
      <c r="D28" s="15" t="s">
        <v>4</v>
      </c>
      <c r="E28" s="202">
        <v>1175</v>
      </c>
      <c r="F28" s="60">
        <v>2</v>
      </c>
      <c r="G28" s="66"/>
      <c r="H28" s="173">
        <f t="shared" ref="H28:H30" si="13">F28*E28</f>
        <v>2350</v>
      </c>
      <c r="I28" s="11"/>
      <c r="J28" s="139">
        <f t="shared" si="10"/>
        <v>21351.213839220818</v>
      </c>
      <c r="K28" s="139"/>
      <c r="L28" s="12"/>
      <c r="M28" s="12">
        <f t="shared" si="11"/>
        <v>21351.213839220818</v>
      </c>
      <c r="N28" s="12"/>
      <c r="O28" s="12"/>
      <c r="P28" s="59">
        <f t="shared" si="12"/>
        <v>0</v>
      </c>
      <c r="Q28" s="59"/>
      <c r="R28" s="11"/>
      <c r="S28" s="11"/>
      <c r="T28" s="11"/>
      <c r="U28" s="11"/>
    </row>
    <row r="29" spans="1:21" s="26" customFormat="1" outlineLevel="1" x14ac:dyDescent="0.3">
      <c r="A29" s="96" t="s">
        <v>173</v>
      </c>
      <c r="B29" s="96"/>
      <c r="C29" s="14" t="s">
        <v>174</v>
      </c>
      <c r="D29" s="15" t="s">
        <v>6</v>
      </c>
      <c r="E29" s="202">
        <v>2</v>
      </c>
      <c r="F29" s="60">
        <f>1000*2</f>
        <v>2000</v>
      </c>
      <c r="G29" s="66"/>
      <c r="H29" s="173">
        <f t="shared" si="13"/>
        <v>4000</v>
      </c>
      <c r="I29" s="11"/>
      <c r="J29" s="139">
        <f t="shared" si="10"/>
        <v>36342.491641226923</v>
      </c>
      <c r="K29" s="139"/>
      <c r="L29" s="12"/>
      <c r="M29" s="12">
        <f t="shared" si="11"/>
        <v>36342.491641226923</v>
      </c>
      <c r="N29" s="12"/>
      <c r="O29" s="12"/>
      <c r="P29" s="59"/>
      <c r="Q29" s="59"/>
      <c r="R29" s="11"/>
      <c r="S29" s="11"/>
      <c r="T29" s="11"/>
      <c r="U29" s="11"/>
    </row>
    <row r="30" spans="1:21" s="26" customFormat="1" outlineLevel="1" x14ac:dyDescent="0.3">
      <c r="A30" s="96" t="s">
        <v>173</v>
      </c>
      <c r="B30" s="96"/>
      <c r="C30" s="14" t="s">
        <v>175</v>
      </c>
      <c r="D30" s="15" t="s">
        <v>8</v>
      </c>
      <c r="E30" s="202">
        <v>1200</v>
      </c>
      <c r="F30" s="60">
        <v>2</v>
      </c>
      <c r="G30" s="66"/>
      <c r="H30" s="173">
        <f t="shared" si="13"/>
        <v>2400</v>
      </c>
      <c r="I30" s="11"/>
      <c r="J30" s="139">
        <f t="shared" si="10"/>
        <v>21805.494984736153</v>
      </c>
      <c r="K30" s="139"/>
      <c r="L30" s="12"/>
      <c r="M30" s="12">
        <f t="shared" si="11"/>
        <v>21805.494984736153</v>
      </c>
      <c r="N30" s="12"/>
      <c r="O30" s="12"/>
      <c r="P30" s="59">
        <f t="shared" si="12"/>
        <v>0</v>
      </c>
      <c r="Q30" s="59"/>
      <c r="R30" s="11"/>
      <c r="S30" s="11"/>
      <c r="T30" s="11"/>
      <c r="U30" s="11"/>
    </row>
    <row r="31" spans="1:21" s="26" customFormat="1" outlineLevel="1" x14ac:dyDescent="0.3">
      <c r="A31" s="96" t="s">
        <v>173</v>
      </c>
      <c r="B31" s="96"/>
      <c r="C31" s="14" t="s">
        <v>176</v>
      </c>
      <c r="D31" s="15" t="s">
        <v>9</v>
      </c>
      <c r="E31" s="202">
        <v>100</v>
      </c>
      <c r="F31" s="60">
        <f>2*10</f>
        <v>20</v>
      </c>
      <c r="G31" s="66"/>
      <c r="H31" s="173">
        <f>F31*E31</f>
        <v>2000</v>
      </c>
      <c r="I31" s="11"/>
      <c r="J31" s="139">
        <f t="shared" si="10"/>
        <v>18171.245820613462</v>
      </c>
      <c r="K31" s="139"/>
      <c r="L31" s="12"/>
      <c r="M31" s="12">
        <f t="shared" si="11"/>
        <v>18171.245820613462</v>
      </c>
      <c r="N31" s="12"/>
      <c r="O31" s="12"/>
      <c r="P31" s="59">
        <f t="shared" si="12"/>
        <v>0</v>
      </c>
      <c r="Q31" s="59"/>
      <c r="R31" s="11"/>
      <c r="S31" s="11"/>
      <c r="T31" s="11"/>
      <c r="U31" s="11"/>
    </row>
    <row r="32" spans="1:21" s="26" customFormat="1" outlineLevel="1" x14ac:dyDescent="0.3">
      <c r="A32" s="96" t="s">
        <v>173</v>
      </c>
      <c r="B32" s="96"/>
      <c r="C32" s="14" t="s">
        <v>177</v>
      </c>
      <c r="D32" s="15" t="s">
        <v>10</v>
      </c>
      <c r="E32" s="202">
        <v>200</v>
      </c>
      <c r="F32" s="60">
        <f>2*20</f>
        <v>40</v>
      </c>
      <c r="G32" s="66"/>
      <c r="H32" s="173">
        <f>F32*E32</f>
        <v>8000</v>
      </c>
      <c r="I32" s="11"/>
      <c r="J32" s="139">
        <f t="shared" si="10"/>
        <v>72684.983282453846</v>
      </c>
      <c r="K32" s="139"/>
      <c r="L32" s="12"/>
      <c r="M32" s="12">
        <f t="shared" si="11"/>
        <v>72684.983282453846</v>
      </c>
      <c r="N32" s="12"/>
      <c r="O32" s="12"/>
      <c r="P32" s="59">
        <f t="shared" si="12"/>
        <v>0</v>
      </c>
      <c r="Q32" s="59">
        <f>+J32-L32-M32-N32</f>
        <v>0</v>
      </c>
      <c r="R32" s="11"/>
      <c r="S32" s="11"/>
      <c r="T32" s="11"/>
      <c r="U32" s="11"/>
    </row>
    <row r="33" spans="1:21" ht="13.5" outlineLevel="1" thickBot="1" x14ac:dyDescent="0.35">
      <c r="A33" s="101"/>
      <c r="B33" s="101"/>
      <c r="D33" s="1"/>
      <c r="E33" s="1"/>
      <c r="F33" s="80"/>
      <c r="G33" s="80"/>
      <c r="H33" s="175"/>
      <c r="I33" s="176">
        <v>0</v>
      </c>
      <c r="K33" s="156"/>
      <c r="P33" s="59">
        <f t="shared" si="12"/>
        <v>0</v>
      </c>
      <c r="Q33" s="59">
        <f t="shared" ref="Q33:Q55" si="14">+J33-L33-M33-N33</f>
        <v>0</v>
      </c>
      <c r="R33" s="2"/>
      <c r="S33" s="2"/>
      <c r="T33" s="2"/>
      <c r="U33" s="2"/>
    </row>
    <row r="34" spans="1:21" ht="13.5" thickBot="1" x14ac:dyDescent="0.35">
      <c r="C34" s="123" t="s">
        <v>11</v>
      </c>
      <c r="D34" s="123"/>
      <c r="E34" s="123"/>
      <c r="F34" s="121"/>
      <c r="G34" s="122">
        <f t="shared" ref="G34:N34" si="15">+G25</f>
        <v>0</v>
      </c>
      <c r="H34" s="122">
        <f t="shared" si="15"/>
        <v>20512.66</v>
      </c>
      <c r="I34" s="122">
        <f t="shared" si="15"/>
        <v>0</v>
      </c>
      <c r="J34" s="122">
        <f>+J25</f>
        <v>186370.29364733247</v>
      </c>
      <c r="K34" s="122">
        <f t="shared" si="15"/>
        <v>0</v>
      </c>
      <c r="L34" s="122">
        <f t="shared" si="15"/>
        <v>0</v>
      </c>
      <c r="M34" s="122">
        <f t="shared" si="15"/>
        <v>186370.29364733247</v>
      </c>
      <c r="N34" s="122">
        <f t="shared" si="15"/>
        <v>0</v>
      </c>
      <c r="O34" s="122"/>
      <c r="P34" s="59">
        <f t="shared" si="12"/>
        <v>0</v>
      </c>
      <c r="Q34" s="59">
        <f t="shared" si="14"/>
        <v>0</v>
      </c>
      <c r="R34" s="52"/>
      <c r="S34" s="51"/>
      <c r="T34" s="51"/>
      <c r="U34" s="51"/>
    </row>
    <row r="35" spans="1:21" ht="13.5" thickBot="1" x14ac:dyDescent="0.35">
      <c r="C35" s="38"/>
      <c r="D35" s="35"/>
      <c r="E35" s="35"/>
      <c r="F35" s="72"/>
      <c r="G35" s="72"/>
      <c r="H35" s="35"/>
      <c r="I35" s="35"/>
      <c r="J35" s="160"/>
      <c r="K35" s="160"/>
      <c r="L35" s="35"/>
      <c r="M35" s="35"/>
      <c r="N35" s="35"/>
      <c r="O35" s="35"/>
      <c r="P35" s="59">
        <f t="shared" si="12"/>
        <v>0</v>
      </c>
      <c r="Q35" s="59">
        <f t="shared" si="14"/>
        <v>0</v>
      </c>
      <c r="R35" s="35"/>
      <c r="S35" s="35"/>
      <c r="T35" s="35"/>
      <c r="U35" s="35"/>
    </row>
    <row r="36" spans="1:21" ht="13.5" outlineLevel="1" thickBot="1" x14ac:dyDescent="0.35">
      <c r="C36" s="23" t="s">
        <v>12</v>
      </c>
      <c r="D36" s="22"/>
      <c r="E36" s="22"/>
      <c r="F36" s="69"/>
      <c r="G36" s="69"/>
      <c r="H36" s="177"/>
      <c r="I36" s="178"/>
      <c r="J36" s="157"/>
      <c r="K36" s="157"/>
      <c r="L36" s="20"/>
      <c r="M36" s="20"/>
      <c r="N36" s="20"/>
      <c r="O36" s="19"/>
      <c r="P36" s="59">
        <f t="shared" si="12"/>
        <v>0</v>
      </c>
      <c r="Q36" s="59">
        <f t="shared" si="14"/>
        <v>0</v>
      </c>
      <c r="R36" s="21"/>
      <c r="S36" s="20"/>
      <c r="T36" s="20"/>
      <c r="U36" s="19"/>
    </row>
    <row r="37" spans="1:21" outlineLevel="1" x14ac:dyDescent="0.3">
      <c r="C37" s="53"/>
      <c r="D37" s="37"/>
      <c r="E37" s="37"/>
      <c r="F37" s="81"/>
      <c r="G37" s="81"/>
      <c r="H37" s="37"/>
      <c r="I37" s="37"/>
      <c r="K37" s="156"/>
      <c r="P37" s="59">
        <f t="shared" si="12"/>
        <v>0</v>
      </c>
      <c r="Q37" s="59">
        <f t="shared" si="14"/>
        <v>0</v>
      </c>
      <c r="R37" s="2"/>
      <c r="S37" s="2"/>
      <c r="T37" s="2"/>
      <c r="U37" s="2"/>
    </row>
    <row r="38" spans="1:21" outlineLevel="1" x14ac:dyDescent="0.3">
      <c r="A38" s="96"/>
      <c r="B38" s="96"/>
      <c r="C38" s="36" t="s">
        <v>13</v>
      </c>
      <c r="D38" s="36"/>
      <c r="E38" s="36"/>
      <c r="F38" s="174"/>
      <c r="G38" s="36">
        <f t="shared" ref="G38:N38" si="16">SUM(G39:G40)</f>
        <v>0</v>
      </c>
      <c r="H38" s="36">
        <f t="shared" si="16"/>
        <v>161200</v>
      </c>
      <c r="I38" s="36">
        <f t="shared" si="16"/>
        <v>0</v>
      </c>
      <c r="J38" s="158">
        <f t="shared" si="16"/>
        <v>1464602.4131414453</v>
      </c>
      <c r="K38" s="158">
        <f t="shared" si="16"/>
        <v>0</v>
      </c>
      <c r="L38" s="36">
        <f t="shared" si="16"/>
        <v>0</v>
      </c>
      <c r="M38" s="36">
        <f t="shared" si="16"/>
        <v>1464602.4131414453</v>
      </c>
      <c r="N38" s="36">
        <f t="shared" si="16"/>
        <v>0</v>
      </c>
      <c r="O38" s="36"/>
      <c r="P38" s="59">
        <f t="shared" si="12"/>
        <v>0</v>
      </c>
      <c r="Q38" s="59">
        <f t="shared" si="14"/>
        <v>0</v>
      </c>
      <c r="R38" s="34"/>
      <c r="S38" s="34"/>
      <c r="T38" s="34"/>
      <c r="U38" s="34"/>
    </row>
    <row r="39" spans="1:21" outlineLevel="1" x14ac:dyDescent="0.3">
      <c r="A39" s="96" t="s">
        <v>173</v>
      </c>
      <c r="B39" s="96"/>
      <c r="C39" s="14" t="s">
        <v>14</v>
      </c>
      <c r="D39" s="34" t="s">
        <v>6</v>
      </c>
      <c r="E39" s="202">
        <v>44</v>
      </c>
      <c r="F39" s="60">
        <f>2*400</f>
        <v>800</v>
      </c>
      <c r="G39" s="66">
        <v>0</v>
      </c>
      <c r="H39" s="173">
        <f>F39*E39</f>
        <v>35200</v>
      </c>
      <c r="I39" s="173"/>
      <c r="J39" s="139">
        <f>E39*F39/$J$6</f>
        <v>319813.92644279695</v>
      </c>
      <c r="K39" s="139">
        <f t="shared" ref="K39:K40" si="17">F39*G39*$K$6</f>
        <v>0</v>
      </c>
      <c r="L39" s="12"/>
      <c r="M39" s="12">
        <f>J39</f>
        <v>319813.92644279695</v>
      </c>
      <c r="N39" s="12"/>
      <c r="O39" s="12"/>
      <c r="P39" s="59">
        <f t="shared" si="12"/>
        <v>0</v>
      </c>
      <c r="Q39" s="59">
        <f t="shared" si="14"/>
        <v>0</v>
      </c>
      <c r="R39" s="34"/>
      <c r="S39" s="34"/>
      <c r="T39" s="34"/>
      <c r="U39" s="34"/>
    </row>
    <row r="40" spans="1:21" outlineLevel="1" x14ac:dyDescent="0.3">
      <c r="A40" s="96" t="s">
        <v>173</v>
      </c>
      <c r="B40" s="96"/>
      <c r="C40" s="14" t="s">
        <v>15</v>
      </c>
      <c r="D40" s="34" t="s">
        <v>10</v>
      </c>
      <c r="E40" s="202">
        <v>150</v>
      </c>
      <c r="F40" s="60">
        <f>840</f>
        <v>840</v>
      </c>
      <c r="G40" s="66">
        <v>0</v>
      </c>
      <c r="H40" s="173">
        <f>F40*E40</f>
        <v>126000</v>
      </c>
      <c r="I40" s="173"/>
      <c r="J40" s="139">
        <f>E40*F40/$J$6</f>
        <v>1144788.4866986482</v>
      </c>
      <c r="K40" s="139">
        <f t="shared" si="17"/>
        <v>0</v>
      </c>
      <c r="L40" s="12"/>
      <c r="M40" s="12">
        <f>J40</f>
        <v>1144788.4866986482</v>
      </c>
      <c r="N40" s="12"/>
      <c r="O40" s="12"/>
      <c r="P40" s="59">
        <f t="shared" si="12"/>
        <v>0</v>
      </c>
      <c r="Q40" s="59">
        <f t="shared" si="14"/>
        <v>0</v>
      </c>
      <c r="R40" s="13"/>
      <c r="S40" s="13"/>
      <c r="T40" s="13"/>
      <c r="U40" s="13"/>
    </row>
    <row r="41" spans="1:21" ht="13.5" outlineLevel="1" thickBot="1" x14ac:dyDescent="0.35">
      <c r="D41" s="1"/>
      <c r="E41" s="1"/>
      <c r="F41" s="80"/>
      <c r="G41" s="80"/>
      <c r="H41" s="175"/>
      <c r="I41" s="176"/>
      <c r="J41" s="161"/>
      <c r="K41" s="161"/>
      <c r="L41" s="17"/>
      <c r="M41" s="17"/>
      <c r="N41" s="17"/>
      <c r="O41" s="17"/>
      <c r="P41" s="59">
        <f t="shared" si="12"/>
        <v>0</v>
      </c>
      <c r="Q41" s="59">
        <f t="shared" si="14"/>
        <v>0</v>
      </c>
      <c r="R41" s="17"/>
      <c r="S41" s="17"/>
      <c r="T41" s="17"/>
      <c r="U41" s="17"/>
    </row>
    <row r="42" spans="1:21" ht="13.5" thickBot="1" x14ac:dyDescent="0.35">
      <c r="C42" s="123" t="s">
        <v>16</v>
      </c>
      <c r="D42" s="123"/>
      <c r="E42" s="123"/>
      <c r="F42" s="121"/>
      <c r="G42" s="122">
        <f t="shared" ref="G42:N42" si="18">+G38</f>
        <v>0</v>
      </c>
      <c r="H42" s="122">
        <f t="shared" si="18"/>
        <v>161200</v>
      </c>
      <c r="I42" s="122">
        <f t="shared" si="18"/>
        <v>0</v>
      </c>
      <c r="J42" s="122">
        <f t="shared" si="18"/>
        <v>1464602.4131414453</v>
      </c>
      <c r="K42" s="122">
        <f t="shared" si="18"/>
        <v>0</v>
      </c>
      <c r="L42" s="122">
        <f t="shared" si="18"/>
        <v>0</v>
      </c>
      <c r="M42" s="122">
        <f t="shared" si="18"/>
        <v>1464602.4131414453</v>
      </c>
      <c r="N42" s="122">
        <f t="shared" si="18"/>
        <v>0</v>
      </c>
      <c r="O42" s="122"/>
      <c r="P42" s="59">
        <f t="shared" si="12"/>
        <v>0</v>
      </c>
      <c r="Q42" s="59">
        <f>+J42-L42-M42-N42</f>
        <v>0</v>
      </c>
      <c r="R42" s="52"/>
      <c r="S42" s="51"/>
      <c r="T42" s="51"/>
      <c r="U42" s="51"/>
    </row>
    <row r="43" spans="1:21" ht="13.5" thickBot="1" x14ac:dyDescent="0.35">
      <c r="C43" s="38"/>
      <c r="D43" s="35"/>
      <c r="E43" s="35"/>
      <c r="F43" s="72"/>
      <c r="G43" s="72"/>
      <c r="H43" s="35"/>
      <c r="I43" s="35"/>
      <c r="J43" s="160"/>
      <c r="K43" s="160"/>
      <c r="L43" s="35"/>
      <c r="M43" s="35"/>
      <c r="N43" s="35"/>
      <c r="O43" s="35"/>
      <c r="P43" s="59">
        <f t="shared" si="12"/>
        <v>0</v>
      </c>
      <c r="Q43" s="59">
        <f t="shared" si="14"/>
        <v>0</v>
      </c>
      <c r="R43" s="35"/>
      <c r="S43" s="35"/>
      <c r="T43" s="35"/>
      <c r="U43" s="35"/>
    </row>
    <row r="44" spans="1:21" s="3" customFormat="1" ht="13.5" thickBot="1" x14ac:dyDescent="0.35">
      <c r="A44" s="100"/>
      <c r="B44" s="100"/>
      <c r="C44" s="116" t="s">
        <v>17</v>
      </c>
      <c r="D44" s="116"/>
      <c r="E44" s="116"/>
      <c r="F44" s="117"/>
      <c r="G44" s="118">
        <f t="shared" ref="G44:N44" si="19">+G42+G34</f>
        <v>0</v>
      </c>
      <c r="H44" s="118">
        <f t="shared" si="19"/>
        <v>181712.66</v>
      </c>
      <c r="I44" s="118">
        <f t="shared" si="19"/>
        <v>0</v>
      </c>
      <c r="J44" s="153">
        <f t="shared" si="19"/>
        <v>1650972.7067887778</v>
      </c>
      <c r="K44" s="153">
        <f t="shared" si="19"/>
        <v>0</v>
      </c>
      <c r="L44" s="118">
        <f t="shared" si="19"/>
        <v>0</v>
      </c>
      <c r="M44" s="118">
        <f t="shared" si="19"/>
        <v>1650972.7067887778</v>
      </c>
      <c r="N44" s="118">
        <f t="shared" si="19"/>
        <v>0</v>
      </c>
      <c r="O44" s="118"/>
      <c r="P44" s="59">
        <f t="shared" si="12"/>
        <v>0</v>
      </c>
      <c r="Q44" s="59">
        <f t="shared" si="14"/>
        <v>0</v>
      </c>
      <c r="R44" s="50"/>
      <c r="S44" s="49"/>
      <c r="T44" s="49"/>
      <c r="U44" s="49"/>
    </row>
    <row r="45" spans="1:21" s="3" customFormat="1" ht="13.5" thickBot="1" x14ac:dyDescent="0.35">
      <c r="A45" s="100"/>
      <c r="B45" s="100"/>
      <c r="C45" s="38"/>
      <c r="D45" s="38"/>
      <c r="E45" s="38"/>
      <c r="F45" s="79"/>
      <c r="G45" s="79"/>
      <c r="H45" s="179"/>
      <c r="I45" s="179"/>
      <c r="J45" s="160"/>
      <c r="K45" s="160"/>
      <c r="L45" s="35"/>
      <c r="M45" s="35"/>
      <c r="N45" s="35"/>
      <c r="O45" s="35"/>
      <c r="P45" s="59">
        <f t="shared" si="12"/>
        <v>0</v>
      </c>
      <c r="Q45" s="59">
        <f t="shared" si="14"/>
        <v>0</v>
      </c>
      <c r="R45" s="35"/>
      <c r="S45" s="35"/>
      <c r="T45" s="35"/>
      <c r="U45" s="35"/>
    </row>
    <row r="46" spans="1:21" ht="13.5" thickBot="1" x14ac:dyDescent="0.35">
      <c r="C46" s="76" t="s">
        <v>18</v>
      </c>
      <c r="D46" s="75"/>
      <c r="E46" s="75"/>
      <c r="F46" s="74"/>
      <c r="G46" s="74"/>
      <c r="H46" s="180"/>
      <c r="I46" s="180"/>
      <c r="J46" s="155"/>
      <c r="K46" s="155"/>
      <c r="L46" s="73"/>
      <c r="M46" s="73"/>
      <c r="N46" s="73"/>
      <c r="O46" s="120"/>
      <c r="P46" s="59"/>
      <c r="Q46" s="59">
        <f t="shared" si="14"/>
        <v>0</v>
      </c>
      <c r="R46" s="41"/>
      <c r="S46" s="40"/>
      <c r="T46" s="40"/>
      <c r="U46" s="39"/>
    </row>
    <row r="47" spans="1:21" ht="13.5" outlineLevel="1" thickBot="1" x14ac:dyDescent="0.35">
      <c r="C47" s="38"/>
      <c r="D47" s="42"/>
      <c r="E47" s="42"/>
      <c r="F47" s="78"/>
      <c r="G47" s="78"/>
      <c r="H47" s="42"/>
      <c r="I47" s="42"/>
      <c r="J47" s="160"/>
      <c r="K47" s="160"/>
      <c r="L47" s="42"/>
      <c r="M47" s="42"/>
      <c r="N47" s="42"/>
      <c r="O47" s="42"/>
      <c r="P47" s="59"/>
      <c r="Q47" s="59">
        <f t="shared" si="14"/>
        <v>0</v>
      </c>
      <c r="R47" s="42"/>
      <c r="S47" s="42"/>
      <c r="T47" s="42"/>
      <c r="U47" s="42"/>
    </row>
    <row r="48" spans="1:21" ht="13.5" outlineLevel="1" thickBot="1" x14ac:dyDescent="0.35">
      <c r="A48" s="96"/>
      <c r="B48" s="96"/>
      <c r="C48" s="23" t="s">
        <v>19</v>
      </c>
      <c r="D48" s="22"/>
      <c r="E48" s="22"/>
      <c r="F48" s="69"/>
      <c r="G48" s="69"/>
      <c r="H48" s="178"/>
      <c r="I48" s="178"/>
      <c r="J48" s="157"/>
      <c r="K48" s="157"/>
      <c r="L48" s="20"/>
      <c r="M48" s="20"/>
      <c r="N48" s="20"/>
      <c r="O48" s="19"/>
      <c r="P48" s="59"/>
      <c r="Q48" s="59">
        <f t="shared" si="14"/>
        <v>0</v>
      </c>
      <c r="R48" s="21"/>
      <c r="S48" s="20"/>
      <c r="T48" s="20"/>
      <c r="U48" s="19"/>
    </row>
    <row r="49" spans="1:21" outlineLevel="1" x14ac:dyDescent="0.3">
      <c r="A49" s="96"/>
      <c r="B49" s="96"/>
      <c r="C49" s="48"/>
      <c r="D49" s="42"/>
      <c r="E49" s="42"/>
      <c r="F49" s="78"/>
      <c r="G49" s="78"/>
      <c r="H49" s="42"/>
      <c r="I49" s="42"/>
      <c r="J49" s="160"/>
      <c r="K49" s="160"/>
      <c r="L49" s="42"/>
      <c r="M49" s="42"/>
      <c r="N49" s="42"/>
      <c r="O49" s="42"/>
      <c r="P49" s="59"/>
      <c r="Q49" s="59">
        <f t="shared" si="14"/>
        <v>0</v>
      </c>
      <c r="R49" s="42"/>
      <c r="S49" s="42"/>
      <c r="T49" s="42"/>
      <c r="U49" s="42"/>
    </row>
    <row r="50" spans="1:21" outlineLevel="1" x14ac:dyDescent="0.3">
      <c r="A50" s="96"/>
      <c r="B50" s="96"/>
      <c r="C50" s="36" t="s">
        <v>20</v>
      </c>
      <c r="D50" s="36"/>
      <c r="E50" s="36"/>
      <c r="F50" s="174"/>
      <c r="G50" s="36">
        <f t="shared" ref="G50:I50" si="20">SUM(G51:G55)</f>
        <v>0</v>
      </c>
      <c r="H50" s="36">
        <f t="shared" si="20"/>
        <v>29906</v>
      </c>
      <c r="I50" s="36">
        <f t="shared" si="20"/>
        <v>0</v>
      </c>
      <c r="J50" s="158">
        <f>SUM(J51:J55)</f>
        <v>271714.63875563309</v>
      </c>
      <c r="K50" s="158">
        <f>SUM(K51:K55)</f>
        <v>0</v>
      </c>
      <c r="L50" s="36">
        <f>SUM(L51:L55)</f>
        <v>0</v>
      </c>
      <c r="M50" s="36">
        <f>SUM(M51:M55)</f>
        <v>271714.63875563309</v>
      </c>
      <c r="N50" s="36">
        <f>SUM(N51:N55)</f>
        <v>0</v>
      </c>
      <c r="O50" s="36"/>
      <c r="P50" s="59"/>
      <c r="Q50" s="59">
        <f t="shared" si="14"/>
        <v>0</v>
      </c>
      <c r="R50" s="47"/>
      <c r="S50" s="47"/>
      <c r="T50" s="47"/>
      <c r="U50" s="47"/>
    </row>
    <row r="51" spans="1:21" outlineLevel="1" x14ac:dyDescent="0.3">
      <c r="A51" s="96" t="s">
        <v>173</v>
      </c>
      <c r="B51" s="96"/>
      <c r="C51" s="14" t="s">
        <v>21</v>
      </c>
      <c r="D51" s="47" t="s">
        <v>9</v>
      </c>
      <c r="E51" s="202">
        <v>2203</v>
      </c>
      <c r="F51" s="60">
        <v>2</v>
      </c>
      <c r="G51" s="66">
        <v>0</v>
      </c>
      <c r="H51" s="173">
        <f>F51*E51</f>
        <v>4406</v>
      </c>
      <c r="I51" s="173">
        <v>0</v>
      </c>
      <c r="J51" s="139">
        <f>H51/$J$6</f>
        <v>40031.254542811454</v>
      </c>
      <c r="K51" s="139">
        <f>+I51*$K$6</f>
        <v>0</v>
      </c>
      <c r="L51" s="12"/>
      <c r="M51" s="12">
        <f>J51</f>
        <v>40031.254542811454</v>
      </c>
      <c r="N51" s="12"/>
      <c r="O51" s="12"/>
      <c r="P51" s="59"/>
      <c r="Q51" s="59">
        <f t="shared" si="14"/>
        <v>0</v>
      </c>
      <c r="R51" s="47"/>
      <c r="S51" s="47"/>
      <c r="T51" s="47"/>
      <c r="U51" s="47"/>
    </row>
    <row r="52" spans="1:21" outlineLevel="1" x14ac:dyDescent="0.3">
      <c r="A52" s="96" t="s">
        <v>173</v>
      </c>
      <c r="B52" s="96"/>
      <c r="C52" s="14" t="s">
        <v>22</v>
      </c>
      <c r="D52" s="47" t="s">
        <v>6</v>
      </c>
      <c r="E52" s="202">
        <v>5000</v>
      </c>
      <c r="F52" s="60">
        <v>1</v>
      </c>
      <c r="G52" s="66">
        <v>0</v>
      </c>
      <c r="H52" s="173">
        <f>F52*E52</f>
        <v>5000</v>
      </c>
      <c r="I52" s="173">
        <v>0</v>
      </c>
      <c r="J52" s="139">
        <f>H52/$J$6</f>
        <v>45428.114551533654</v>
      </c>
      <c r="K52" s="139"/>
      <c r="L52" s="12"/>
      <c r="M52" s="12">
        <f>J52</f>
        <v>45428.114551533654</v>
      </c>
      <c r="N52" s="12"/>
      <c r="O52" s="12"/>
      <c r="P52" s="59"/>
      <c r="Q52" s="59"/>
      <c r="R52" s="47"/>
      <c r="S52" s="47"/>
      <c r="T52" s="47"/>
      <c r="U52" s="47"/>
    </row>
    <row r="53" spans="1:21" outlineLevel="1" x14ac:dyDescent="0.3">
      <c r="A53" s="96" t="s">
        <v>173</v>
      </c>
      <c r="B53" s="96"/>
      <c r="C53" s="14" t="s">
        <v>23</v>
      </c>
      <c r="D53" s="47" t="s">
        <v>4</v>
      </c>
      <c r="E53" s="202">
        <v>1250</v>
      </c>
      <c r="F53" s="60">
        <v>10</v>
      </c>
      <c r="G53" s="66">
        <v>0</v>
      </c>
      <c r="H53" s="173">
        <f>F53*E53</f>
        <v>12500</v>
      </c>
      <c r="I53" s="173">
        <v>0</v>
      </c>
      <c r="J53" s="139">
        <f>H53/$J$6</f>
        <v>113570.28637883413</v>
      </c>
      <c r="K53" s="139"/>
      <c r="L53" s="12"/>
      <c r="M53" s="12">
        <f>J53</f>
        <v>113570.28637883413</v>
      </c>
      <c r="N53" s="12"/>
      <c r="O53" s="12"/>
      <c r="P53" s="59"/>
      <c r="Q53" s="59"/>
      <c r="R53" s="47"/>
      <c r="S53" s="47"/>
      <c r="T53" s="47"/>
      <c r="U53" s="47"/>
    </row>
    <row r="54" spans="1:21" outlineLevel="1" x14ac:dyDescent="0.3">
      <c r="A54" s="96" t="s">
        <v>173</v>
      </c>
      <c r="B54" s="96"/>
      <c r="C54" s="14" t="s">
        <v>24</v>
      </c>
      <c r="D54" s="15" t="s">
        <v>8</v>
      </c>
      <c r="E54" s="202">
        <v>2500</v>
      </c>
      <c r="F54" s="60">
        <v>2</v>
      </c>
      <c r="G54" s="66">
        <v>0</v>
      </c>
      <c r="H54" s="173">
        <f>F54*E54</f>
        <v>5000</v>
      </c>
      <c r="I54" s="173">
        <v>0</v>
      </c>
      <c r="J54" s="139">
        <f>H54/$J$6</f>
        <v>45428.114551533654</v>
      </c>
      <c r="K54" s="139">
        <f t="shared" ref="K54:K55" si="21">+I54*$K$6</f>
        <v>0</v>
      </c>
      <c r="L54" s="12"/>
      <c r="M54" s="12">
        <f>J54</f>
        <v>45428.114551533654</v>
      </c>
      <c r="N54" s="12"/>
      <c r="O54" s="12"/>
      <c r="P54" s="59"/>
      <c r="Q54" s="59">
        <f t="shared" si="14"/>
        <v>0</v>
      </c>
      <c r="R54" s="47"/>
      <c r="S54" s="47"/>
      <c r="T54" s="47"/>
      <c r="U54" s="47"/>
    </row>
    <row r="55" spans="1:21" outlineLevel="1" x14ac:dyDescent="0.3">
      <c r="A55" s="96" t="s">
        <v>173</v>
      </c>
      <c r="B55" s="96"/>
      <c r="C55" s="14" t="s">
        <v>25</v>
      </c>
      <c r="D55" s="15" t="s">
        <v>8</v>
      </c>
      <c r="E55" s="202">
        <v>1500</v>
      </c>
      <c r="F55" s="60">
        <v>2</v>
      </c>
      <c r="G55" s="66">
        <v>0</v>
      </c>
      <c r="H55" s="173">
        <f>F55*E55</f>
        <v>3000</v>
      </c>
      <c r="I55" s="173">
        <v>0</v>
      </c>
      <c r="J55" s="139">
        <f>H55/$J$6</f>
        <v>27256.868730920192</v>
      </c>
      <c r="K55" s="139">
        <f t="shared" si="21"/>
        <v>0</v>
      </c>
      <c r="L55" s="12"/>
      <c r="M55" s="12">
        <f>J55</f>
        <v>27256.868730920192</v>
      </c>
      <c r="N55" s="12"/>
      <c r="O55" s="12"/>
      <c r="P55" s="59"/>
      <c r="Q55" s="59">
        <f t="shared" si="14"/>
        <v>0</v>
      </c>
      <c r="R55" s="11"/>
      <c r="S55" s="11"/>
      <c r="T55" s="11"/>
      <c r="U55" s="11"/>
    </row>
    <row r="56" spans="1:21" ht="13.5" outlineLevel="1" thickBot="1" x14ac:dyDescent="0.35">
      <c r="A56" s="96"/>
      <c r="B56" s="96"/>
      <c r="C56" s="18"/>
      <c r="D56" s="10"/>
      <c r="E56" s="10"/>
      <c r="F56" s="68"/>
      <c r="G56" s="68"/>
      <c r="H56" s="10"/>
      <c r="I56" s="10"/>
      <c r="J56" s="159"/>
      <c r="K56" s="159"/>
      <c r="L56" s="10"/>
      <c r="M56" s="10"/>
      <c r="N56" s="10"/>
      <c r="O56" s="10"/>
      <c r="P56" s="59"/>
      <c r="Q56" s="59">
        <f t="shared" ref="Q56:Q155" si="22">+J56-L56-M56-N56</f>
        <v>0</v>
      </c>
      <c r="R56" s="10"/>
      <c r="S56" s="10"/>
      <c r="T56" s="10"/>
      <c r="U56" s="10"/>
    </row>
    <row r="57" spans="1:21" ht="13.5" thickBot="1" x14ac:dyDescent="0.35">
      <c r="A57" s="96"/>
      <c r="B57" s="96"/>
      <c r="C57" s="106" t="s">
        <v>26</v>
      </c>
      <c r="D57" s="106"/>
      <c r="E57" s="106"/>
      <c r="F57" s="119"/>
      <c r="G57" s="108">
        <f t="shared" ref="G57:N57" si="23">+G50</f>
        <v>0</v>
      </c>
      <c r="H57" s="108">
        <f t="shared" si="23"/>
        <v>29906</v>
      </c>
      <c r="I57" s="108">
        <f t="shared" si="23"/>
        <v>0</v>
      </c>
      <c r="J57" s="108">
        <f t="shared" si="23"/>
        <v>271714.63875563309</v>
      </c>
      <c r="K57" s="108">
        <f t="shared" si="23"/>
        <v>0</v>
      </c>
      <c r="L57" s="108">
        <f t="shared" si="23"/>
        <v>0</v>
      </c>
      <c r="M57" s="108">
        <f t="shared" si="23"/>
        <v>271714.63875563309</v>
      </c>
      <c r="N57" s="108">
        <f t="shared" si="23"/>
        <v>0</v>
      </c>
      <c r="O57" s="108"/>
      <c r="P57" s="59"/>
      <c r="Q57" s="59">
        <f t="shared" si="22"/>
        <v>0</v>
      </c>
      <c r="R57" s="5"/>
      <c r="S57" s="4"/>
      <c r="T57" s="4"/>
      <c r="U57" s="4"/>
    </row>
    <row r="58" spans="1:21" ht="13.5" thickBot="1" x14ac:dyDescent="0.35">
      <c r="A58" s="96"/>
      <c r="B58" s="96"/>
      <c r="C58" s="18"/>
      <c r="D58" s="10"/>
      <c r="E58" s="10"/>
      <c r="F58" s="68"/>
      <c r="G58" s="68"/>
      <c r="H58" s="10"/>
      <c r="I58" s="10"/>
      <c r="J58" s="159"/>
      <c r="K58" s="159"/>
      <c r="L58" s="10"/>
      <c r="M58" s="10"/>
      <c r="N58" s="10"/>
      <c r="O58" s="10"/>
      <c r="P58" s="59"/>
      <c r="Q58" s="59">
        <f t="shared" si="22"/>
        <v>0</v>
      </c>
      <c r="R58" s="10"/>
      <c r="S58" s="10"/>
      <c r="T58" s="10"/>
      <c r="U58" s="10"/>
    </row>
    <row r="59" spans="1:21" s="3" customFormat="1" ht="13.5" outlineLevel="1" thickBot="1" x14ac:dyDescent="0.35">
      <c r="A59" s="96"/>
      <c r="B59" s="96"/>
      <c r="C59" s="23" t="s">
        <v>27</v>
      </c>
      <c r="D59" s="22"/>
      <c r="E59" s="22"/>
      <c r="F59" s="69"/>
      <c r="G59" s="69"/>
      <c r="H59" s="178"/>
      <c r="I59" s="178"/>
      <c r="J59" s="157"/>
      <c r="K59" s="157"/>
      <c r="L59" s="20"/>
      <c r="M59" s="20"/>
      <c r="N59" s="20"/>
      <c r="O59" s="19"/>
      <c r="P59" s="59"/>
      <c r="Q59" s="59">
        <f t="shared" si="22"/>
        <v>0</v>
      </c>
      <c r="R59" s="21"/>
      <c r="S59" s="20"/>
      <c r="T59" s="20"/>
      <c r="U59" s="19"/>
    </row>
    <row r="60" spans="1:21" outlineLevel="1" x14ac:dyDescent="0.3">
      <c r="A60" s="96"/>
      <c r="B60" s="96"/>
      <c r="C60" s="18"/>
      <c r="D60" s="10"/>
      <c r="E60" s="10"/>
      <c r="F60" s="68"/>
      <c r="G60" s="68"/>
      <c r="H60" s="10"/>
      <c r="I60" s="10"/>
      <c r="J60" s="159"/>
      <c r="K60" s="159"/>
      <c r="L60" s="10"/>
      <c r="M60" s="10"/>
      <c r="N60" s="10"/>
      <c r="O60" s="10"/>
      <c r="P60" s="59"/>
      <c r="Q60" s="59">
        <f t="shared" si="22"/>
        <v>0</v>
      </c>
      <c r="R60" s="10"/>
      <c r="S60" s="10"/>
      <c r="T60" s="10"/>
      <c r="U60" s="10"/>
    </row>
    <row r="61" spans="1:21" outlineLevel="1" x14ac:dyDescent="0.3">
      <c r="A61" s="96"/>
      <c r="B61" s="96"/>
      <c r="C61" s="36" t="s">
        <v>28</v>
      </c>
      <c r="D61" s="36"/>
      <c r="E61" s="36"/>
      <c r="F61" s="174"/>
      <c r="G61" s="36">
        <f t="shared" ref="G61:I61" si="24">SUM(G62:G66)</f>
        <v>0</v>
      </c>
      <c r="H61" s="36">
        <f>SUM(H62:H66)</f>
        <v>46600</v>
      </c>
      <c r="I61" s="36">
        <f t="shared" si="24"/>
        <v>0</v>
      </c>
      <c r="J61" s="158">
        <f>SUM(J62:J66)</f>
        <v>423390.02762029367</v>
      </c>
      <c r="K61" s="158">
        <f>SUM(K62:K66)</f>
        <v>0</v>
      </c>
      <c r="L61" s="36">
        <f>SUM(L62:L66)</f>
        <v>0</v>
      </c>
      <c r="M61" s="36">
        <f>SUM(M62:M66)</f>
        <v>423390.02762029367</v>
      </c>
      <c r="N61" s="36">
        <f>SUM(N62:N66)</f>
        <v>0</v>
      </c>
      <c r="O61" s="36"/>
      <c r="P61" s="59"/>
      <c r="Q61" s="59">
        <f t="shared" si="22"/>
        <v>0</v>
      </c>
      <c r="R61" s="15"/>
      <c r="S61" s="15"/>
      <c r="T61" s="15"/>
      <c r="U61" s="15"/>
    </row>
    <row r="62" spans="1:21" outlineLevel="1" x14ac:dyDescent="0.3">
      <c r="A62" s="96" t="s">
        <v>173</v>
      </c>
      <c r="B62" s="96"/>
      <c r="C62" s="14" t="s">
        <v>29</v>
      </c>
      <c r="D62" s="15" t="s">
        <v>30</v>
      </c>
      <c r="E62" s="202">
        <v>600</v>
      </c>
      <c r="F62" s="60">
        <v>6</v>
      </c>
      <c r="G62" s="66">
        <v>0</v>
      </c>
      <c r="H62" s="173">
        <f>F62*E62</f>
        <v>3600</v>
      </c>
      <c r="I62" s="173"/>
      <c r="J62" s="139">
        <f>+H62/$J$6</f>
        <v>32708.242477104232</v>
      </c>
      <c r="K62" s="139"/>
      <c r="L62" s="12"/>
      <c r="M62" s="12">
        <f>J62</f>
        <v>32708.242477104232</v>
      </c>
      <c r="N62" s="12"/>
      <c r="O62" s="12"/>
      <c r="P62" s="59"/>
      <c r="Q62" s="59">
        <f t="shared" si="22"/>
        <v>0</v>
      </c>
      <c r="R62" s="15"/>
      <c r="S62" s="15"/>
      <c r="T62" s="15"/>
      <c r="U62" s="15"/>
    </row>
    <row r="63" spans="1:21" outlineLevel="1" x14ac:dyDescent="0.3">
      <c r="A63" s="96" t="s">
        <v>173</v>
      </c>
      <c r="B63" s="96"/>
      <c r="C63" s="14" t="s">
        <v>31</v>
      </c>
      <c r="D63" s="15" t="s">
        <v>8</v>
      </c>
      <c r="E63" s="202">
        <v>3500</v>
      </c>
      <c r="F63" s="60">
        <v>2</v>
      </c>
      <c r="G63" s="66">
        <v>0</v>
      </c>
      <c r="H63" s="173">
        <f>F63*E63</f>
        <v>7000</v>
      </c>
      <c r="I63" s="173"/>
      <c r="J63" s="139">
        <f>+H63/$J$6</f>
        <v>63599.360372147115</v>
      </c>
      <c r="K63" s="139"/>
      <c r="L63" s="12"/>
      <c r="M63" s="12">
        <f>J63</f>
        <v>63599.360372147115</v>
      </c>
      <c r="N63" s="12"/>
      <c r="O63" s="12"/>
      <c r="P63" s="59"/>
      <c r="Q63" s="59"/>
      <c r="R63" s="15"/>
      <c r="S63" s="15"/>
      <c r="T63" s="15"/>
      <c r="U63" s="15"/>
    </row>
    <row r="64" spans="1:21" outlineLevel="1" x14ac:dyDescent="0.3">
      <c r="A64" s="96" t="s">
        <v>173</v>
      </c>
      <c r="B64" s="96"/>
      <c r="C64" s="14" t="s">
        <v>32</v>
      </c>
      <c r="D64" s="47" t="s">
        <v>4</v>
      </c>
      <c r="E64" s="202">
        <v>50</v>
      </c>
      <c r="F64" s="60">
        <v>20</v>
      </c>
      <c r="G64" s="66">
        <v>0</v>
      </c>
      <c r="H64" s="173">
        <f>F64*E64</f>
        <v>1000</v>
      </c>
      <c r="I64" s="173"/>
      <c r="J64" s="139">
        <f>+H64/$J$6</f>
        <v>9085.6229103067308</v>
      </c>
      <c r="K64" s="139"/>
      <c r="L64" s="12"/>
      <c r="M64" s="12">
        <f>J64</f>
        <v>9085.6229103067308</v>
      </c>
      <c r="N64" s="12"/>
      <c r="O64" s="12"/>
      <c r="P64" s="59"/>
      <c r="Q64" s="59"/>
      <c r="R64" s="15"/>
      <c r="S64" s="15"/>
      <c r="T64" s="15"/>
      <c r="U64" s="15"/>
    </row>
    <row r="65" spans="1:21" outlineLevel="1" x14ac:dyDescent="0.3">
      <c r="A65" s="96" t="s">
        <v>173</v>
      </c>
      <c r="B65" s="96"/>
      <c r="C65" s="14" t="s">
        <v>33</v>
      </c>
      <c r="D65" s="47" t="s">
        <v>4</v>
      </c>
      <c r="E65" s="202">
        <v>50</v>
      </c>
      <c r="F65" s="60">
        <v>200</v>
      </c>
      <c r="G65" s="66">
        <v>0</v>
      </c>
      <c r="H65" s="173">
        <f>F65*E65</f>
        <v>10000</v>
      </c>
      <c r="I65" s="173"/>
      <c r="J65" s="139">
        <f>+H65/$J$6</f>
        <v>90856.229103067308</v>
      </c>
      <c r="K65" s="139"/>
      <c r="L65" s="12"/>
      <c r="M65" s="12">
        <f>J65</f>
        <v>90856.229103067308</v>
      </c>
      <c r="N65" s="12"/>
      <c r="O65" s="12"/>
      <c r="P65" s="59"/>
      <c r="Q65" s="59">
        <f t="shared" si="22"/>
        <v>0</v>
      </c>
      <c r="R65" s="15"/>
      <c r="S65" s="15"/>
      <c r="T65" s="15"/>
      <c r="U65" s="15"/>
    </row>
    <row r="66" spans="1:21" outlineLevel="1" x14ac:dyDescent="0.3">
      <c r="A66" s="96" t="s">
        <v>173</v>
      </c>
      <c r="B66" s="96"/>
      <c r="C66" s="14" t="s">
        <v>34</v>
      </c>
      <c r="D66" s="47" t="s">
        <v>4</v>
      </c>
      <c r="E66" s="202">
        <v>12500</v>
      </c>
      <c r="F66" s="60">
        <v>2</v>
      </c>
      <c r="G66" s="66">
        <v>0</v>
      </c>
      <c r="H66" s="173">
        <f>F66*E66</f>
        <v>25000</v>
      </c>
      <c r="I66" s="173"/>
      <c r="J66" s="139">
        <f>+H66/$J$6</f>
        <v>227140.57275766827</v>
      </c>
      <c r="K66" s="139"/>
      <c r="L66" s="12"/>
      <c r="M66" s="12">
        <f>J66</f>
        <v>227140.57275766827</v>
      </c>
      <c r="N66" s="12"/>
      <c r="O66" s="12"/>
      <c r="P66" s="59"/>
      <c r="Q66" s="59">
        <f t="shared" si="22"/>
        <v>0</v>
      </c>
      <c r="R66" s="11"/>
      <c r="S66" s="11"/>
      <c r="T66" s="11"/>
      <c r="U66" s="11"/>
    </row>
    <row r="67" spans="1:21" ht="13.5" outlineLevel="1" thickBot="1" x14ac:dyDescent="0.35">
      <c r="A67" s="96"/>
      <c r="B67" s="96"/>
      <c r="C67" s="18"/>
      <c r="D67" s="10"/>
      <c r="E67" s="10"/>
      <c r="F67" s="68"/>
      <c r="G67" s="68"/>
      <c r="H67" s="10"/>
      <c r="I67" s="10"/>
      <c r="J67" s="159"/>
      <c r="K67" s="159"/>
      <c r="L67" s="10"/>
      <c r="M67" s="10"/>
      <c r="N67" s="10"/>
      <c r="O67" s="10"/>
      <c r="P67" s="59"/>
      <c r="Q67" s="59">
        <f t="shared" si="22"/>
        <v>0</v>
      </c>
      <c r="R67" s="10"/>
      <c r="S67" s="10"/>
      <c r="T67" s="10"/>
      <c r="U67" s="10"/>
    </row>
    <row r="68" spans="1:21" s="3" customFormat="1" ht="13.5" thickBot="1" x14ac:dyDescent="0.35">
      <c r="A68" s="96"/>
      <c r="B68" s="96"/>
      <c r="C68" s="106" t="s">
        <v>35</v>
      </c>
      <c r="D68" s="108"/>
      <c r="E68" s="108"/>
      <c r="F68" s="170"/>
      <c r="G68" s="108">
        <f t="shared" ref="G68:N68" si="25">+G61</f>
        <v>0</v>
      </c>
      <c r="H68" s="108">
        <f t="shared" si="25"/>
        <v>46600</v>
      </c>
      <c r="I68" s="108">
        <f t="shared" si="25"/>
        <v>0</v>
      </c>
      <c r="J68" s="108">
        <f t="shared" si="25"/>
        <v>423390.02762029367</v>
      </c>
      <c r="K68" s="108">
        <f t="shared" si="25"/>
        <v>0</v>
      </c>
      <c r="L68" s="108">
        <f t="shared" si="25"/>
        <v>0</v>
      </c>
      <c r="M68" s="108">
        <f t="shared" si="25"/>
        <v>423390.02762029367</v>
      </c>
      <c r="N68" s="108">
        <f t="shared" si="25"/>
        <v>0</v>
      </c>
      <c r="O68" s="108"/>
      <c r="P68" s="59"/>
      <c r="Q68" s="59">
        <f t="shared" si="22"/>
        <v>0</v>
      </c>
      <c r="R68" s="5"/>
      <c r="S68" s="4"/>
      <c r="T68" s="4"/>
      <c r="U68" s="4"/>
    </row>
    <row r="69" spans="1:21" ht="13.5" thickBot="1" x14ac:dyDescent="0.35">
      <c r="A69" s="96"/>
      <c r="B69" s="96"/>
      <c r="C69" s="18"/>
      <c r="D69" s="10"/>
      <c r="E69" s="10"/>
      <c r="F69" s="68"/>
      <c r="G69" s="68"/>
      <c r="H69" s="10"/>
      <c r="I69" s="10"/>
      <c r="J69" s="159"/>
      <c r="K69" s="159"/>
      <c r="L69" s="10"/>
      <c r="M69" s="10"/>
      <c r="N69" s="10"/>
      <c r="O69" s="10"/>
      <c r="P69" s="59"/>
      <c r="Q69" s="59"/>
      <c r="R69" s="10"/>
      <c r="S69" s="10"/>
      <c r="T69" s="10"/>
      <c r="U69" s="10"/>
    </row>
    <row r="70" spans="1:21" s="3" customFormat="1" ht="13.5" outlineLevel="1" thickBot="1" x14ac:dyDescent="0.35">
      <c r="A70" s="96"/>
      <c r="B70" s="96"/>
      <c r="C70" s="23" t="s">
        <v>36</v>
      </c>
      <c r="D70" s="22"/>
      <c r="E70" s="22"/>
      <c r="F70" s="69"/>
      <c r="G70" s="69"/>
      <c r="H70" s="178"/>
      <c r="I70" s="178"/>
      <c r="J70" s="157"/>
      <c r="K70" s="157"/>
      <c r="L70" s="20"/>
      <c r="M70" s="20"/>
      <c r="N70" s="20"/>
      <c r="O70" s="19"/>
      <c r="P70" s="59"/>
      <c r="Q70" s="59">
        <f t="shared" ref="Q70:Q73" si="26">+J70-L70-M70-N70</f>
        <v>0</v>
      </c>
      <c r="R70" s="21"/>
      <c r="S70" s="20"/>
      <c r="T70" s="20"/>
      <c r="U70" s="19"/>
    </row>
    <row r="71" spans="1:21" outlineLevel="1" x14ac:dyDescent="0.3">
      <c r="A71" s="96"/>
      <c r="B71" s="96"/>
      <c r="C71" s="18"/>
      <c r="D71" s="10"/>
      <c r="E71" s="10"/>
      <c r="F71" s="68"/>
      <c r="G71" s="68"/>
      <c r="H71" s="10"/>
      <c r="I71" s="10"/>
      <c r="J71" s="159"/>
      <c r="K71" s="159"/>
      <c r="L71" s="10"/>
      <c r="M71" s="10"/>
      <c r="N71" s="10"/>
      <c r="O71" s="10"/>
      <c r="P71" s="59"/>
      <c r="Q71" s="59">
        <f t="shared" si="26"/>
        <v>0</v>
      </c>
      <c r="R71" s="10"/>
      <c r="S71" s="10"/>
      <c r="T71" s="10"/>
      <c r="U71" s="10"/>
    </row>
    <row r="72" spans="1:21" outlineLevel="1" x14ac:dyDescent="0.3">
      <c r="A72" s="96"/>
      <c r="B72" s="96"/>
      <c r="C72" s="36" t="s">
        <v>37</v>
      </c>
      <c r="D72" s="36"/>
      <c r="E72" s="36"/>
      <c r="F72" s="174"/>
      <c r="G72" s="36">
        <f t="shared" ref="G72:I72" si="27">SUM(G73:G78)</f>
        <v>0</v>
      </c>
      <c r="H72" s="36">
        <f>SUM(H73:H78)</f>
        <v>26800</v>
      </c>
      <c r="I72" s="36">
        <f t="shared" si="27"/>
        <v>0</v>
      </c>
      <c r="J72" s="158">
        <f>SUM(J73:J78)</f>
        <v>243494.69399622039</v>
      </c>
      <c r="K72" s="158">
        <f>SUM(K73:K78)</f>
        <v>0</v>
      </c>
      <c r="L72" s="36">
        <f>SUM(L73:L78)</f>
        <v>0</v>
      </c>
      <c r="M72" s="36">
        <f>SUM(M73:M78)</f>
        <v>243494.69399622039</v>
      </c>
      <c r="N72" s="36">
        <f>SUM(N73:N78)</f>
        <v>0</v>
      </c>
      <c r="O72" s="36"/>
      <c r="P72" s="59"/>
      <c r="Q72" s="59">
        <f t="shared" si="26"/>
        <v>0</v>
      </c>
      <c r="R72" s="15"/>
      <c r="S72" s="15"/>
      <c r="T72" s="15"/>
      <c r="U72" s="15"/>
    </row>
    <row r="73" spans="1:21" outlineLevel="1" x14ac:dyDescent="0.3">
      <c r="A73" s="96" t="s">
        <v>173</v>
      </c>
      <c r="B73" s="96"/>
      <c r="C73" s="14" t="s">
        <v>38</v>
      </c>
      <c r="D73" s="15" t="s">
        <v>8</v>
      </c>
      <c r="E73" s="202">
        <v>2500</v>
      </c>
      <c r="F73" s="60">
        <v>2</v>
      </c>
      <c r="G73" s="66"/>
      <c r="H73" s="173">
        <f t="shared" ref="H73:H78" si="28">F73*E73</f>
        <v>5000</v>
      </c>
      <c r="I73" s="173"/>
      <c r="J73" s="139">
        <f t="shared" ref="J73:J78" si="29">+H73/$J$6</f>
        <v>45428.114551533654</v>
      </c>
      <c r="K73" s="139"/>
      <c r="L73" s="12"/>
      <c r="M73" s="12">
        <f t="shared" ref="M73:M78" si="30">J73</f>
        <v>45428.114551533654</v>
      </c>
      <c r="N73" s="12"/>
      <c r="O73" s="12"/>
      <c r="P73" s="59"/>
      <c r="Q73" s="59">
        <f t="shared" si="26"/>
        <v>0</v>
      </c>
      <c r="R73" s="15"/>
      <c r="S73" s="15"/>
      <c r="T73" s="15"/>
      <c r="U73" s="15"/>
    </row>
    <row r="74" spans="1:21" outlineLevel="1" x14ac:dyDescent="0.3">
      <c r="A74" s="96" t="s">
        <v>173</v>
      </c>
      <c r="B74" s="96"/>
      <c r="C74" s="14" t="s">
        <v>39</v>
      </c>
      <c r="D74" s="15" t="s">
        <v>8</v>
      </c>
      <c r="E74" s="202">
        <v>3000</v>
      </c>
      <c r="F74" s="60">
        <v>2</v>
      </c>
      <c r="G74" s="66"/>
      <c r="H74" s="173">
        <f t="shared" si="28"/>
        <v>6000</v>
      </c>
      <c r="I74" s="173"/>
      <c r="J74" s="139">
        <f t="shared" si="29"/>
        <v>54513.737461840385</v>
      </c>
      <c r="K74" s="139"/>
      <c r="L74" s="12"/>
      <c r="M74" s="12">
        <f t="shared" si="30"/>
        <v>54513.737461840385</v>
      </c>
      <c r="N74" s="12"/>
      <c r="O74" s="12"/>
      <c r="P74" s="59"/>
      <c r="Q74" s="59"/>
      <c r="R74" s="15"/>
      <c r="S74" s="15"/>
      <c r="T74" s="15"/>
      <c r="U74" s="15"/>
    </row>
    <row r="75" spans="1:21" outlineLevel="1" x14ac:dyDescent="0.3">
      <c r="A75" s="96" t="s">
        <v>173</v>
      </c>
      <c r="B75" s="96"/>
      <c r="C75" s="14" t="s">
        <v>40</v>
      </c>
      <c r="D75" s="15" t="s">
        <v>8</v>
      </c>
      <c r="E75" s="202">
        <v>1500</v>
      </c>
      <c r="F75" s="60">
        <v>2</v>
      </c>
      <c r="G75" s="66"/>
      <c r="H75" s="173">
        <f t="shared" si="28"/>
        <v>3000</v>
      </c>
      <c r="I75" s="173"/>
      <c r="J75" s="139">
        <f t="shared" si="29"/>
        <v>27256.868730920192</v>
      </c>
      <c r="K75" s="139"/>
      <c r="L75" s="12"/>
      <c r="M75" s="12">
        <f t="shared" si="30"/>
        <v>27256.868730920192</v>
      </c>
      <c r="N75" s="12"/>
      <c r="O75" s="12"/>
      <c r="P75" s="59"/>
      <c r="Q75" s="59"/>
      <c r="R75" s="15"/>
      <c r="S75" s="15"/>
      <c r="T75" s="15"/>
      <c r="U75" s="15"/>
    </row>
    <row r="76" spans="1:21" outlineLevel="1" x14ac:dyDescent="0.3">
      <c r="A76" s="96" t="s">
        <v>173</v>
      </c>
      <c r="B76" s="96"/>
      <c r="C76" s="14" t="s">
        <v>41</v>
      </c>
      <c r="D76" s="15" t="s">
        <v>9</v>
      </c>
      <c r="E76" s="202">
        <v>1000</v>
      </c>
      <c r="F76" s="60">
        <v>8</v>
      </c>
      <c r="G76" s="66"/>
      <c r="H76" s="173">
        <f t="shared" si="28"/>
        <v>8000</v>
      </c>
      <c r="I76" s="173"/>
      <c r="J76" s="139">
        <f t="shared" si="29"/>
        <v>72684.983282453846</v>
      </c>
      <c r="K76" s="139"/>
      <c r="L76" s="12"/>
      <c r="M76" s="12">
        <f t="shared" si="30"/>
        <v>72684.983282453846</v>
      </c>
      <c r="N76" s="12"/>
      <c r="O76" s="12"/>
      <c r="P76" s="59"/>
      <c r="Q76" s="59"/>
      <c r="R76" s="15"/>
      <c r="S76" s="15"/>
      <c r="T76" s="15"/>
      <c r="U76" s="15"/>
    </row>
    <row r="77" spans="1:21" outlineLevel="1" x14ac:dyDescent="0.3">
      <c r="A77" s="96" t="s">
        <v>173</v>
      </c>
      <c r="B77" s="96"/>
      <c r="C77" s="14" t="s">
        <v>42</v>
      </c>
      <c r="D77" s="15" t="s">
        <v>9</v>
      </c>
      <c r="E77" s="202">
        <v>300</v>
      </c>
      <c r="F77" s="60">
        <v>6</v>
      </c>
      <c r="G77" s="66"/>
      <c r="H77" s="173">
        <f t="shared" si="28"/>
        <v>1800</v>
      </c>
      <c r="I77" s="173"/>
      <c r="J77" s="139">
        <f t="shared" si="29"/>
        <v>16354.121238552116</v>
      </c>
      <c r="K77" s="139"/>
      <c r="L77" s="12"/>
      <c r="M77" s="12">
        <f t="shared" si="30"/>
        <v>16354.121238552116</v>
      </c>
      <c r="N77" s="12"/>
      <c r="O77" s="12"/>
      <c r="P77" s="59"/>
      <c r="Q77" s="59">
        <f t="shared" ref="Q77:Q80" si="31">+J77-L77-M77-N77</f>
        <v>0</v>
      </c>
      <c r="R77" s="15"/>
      <c r="S77" s="15"/>
      <c r="T77" s="15"/>
      <c r="U77" s="15"/>
    </row>
    <row r="78" spans="1:21" outlineLevel="1" x14ac:dyDescent="0.3">
      <c r="A78" s="96" t="s">
        <v>173</v>
      </c>
      <c r="B78" s="96"/>
      <c r="C78" s="14" t="s">
        <v>43</v>
      </c>
      <c r="D78" s="15" t="s">
        <v>9</v>
      </c>
      <c r="E78" s="202">
        <v>1500</v>
      </c>
      <c r="F78" s="60">
        <v>2</v>
      </c>
      <c r="G78" s="66"/>
      <c r="H78" s="173">
        <f t="shared" si="28"/>
        <v>3000</v>
      </c>
      <c r="I78" s="173"/>
      <c r="J78" s="139">
        <f t="shared" si="29"/>
        <v>27256.868730920192</v>
      </c>
      <c r="K78" s="139"/>
      <c r="L78" s="12"/>
      <c r="M78" s="12">
        <f t="shared" si="30"/>
        <v>27256.868730920192</v>
      </c>
      <c r="N78" s="12"/>
      <c r="O78" s="12"/>
      <c r="P78" s="59"/>
      <c r="Q78" s="59">
        <f t="shared" si="31"/>
        <v>0</v>
      </c>
      <c r="R78" s="11"/>
      <c r="S78" s="11"/>
      <c r="T78" s="11"/>
      <c r="U78" s="11"/>
    </row>
    <row r="79" spans="1:21" ht="13.5" outlineLevel="1" thickBot="1" x14ac:dyDescent="0.35">
      <c r="A79" s="96"/>
      <c r="B79" s="96"/>
      <c r="C79" s="18"/>
      <c r="D79" s="10"/>
      <c r="E79" s="10"/>
      <c r="F79" s="68"/>
      <c r="G79" s="68"/>
      <c r="H79" s="10"/>
      <c r="I79" s="10"/>
      <c r="J79" s="159"/>
      <c r="K79" s="159"/>
      <c r="L79" s="10"/>
      <c r="M79" s="10"/>
      <c r="N79" s="10"/>
      <c r="O79" s="10"/>
      <c r="P79" s="59"/>
      <c r="Q79" s="59">
        <f t="shared" si="31"/>
        <v>0</v>
      </c>
      <c r="R79" s="10"/>
      <c r="S79" s="10"/>
      <c r="T79" s="10"/>
      <c r="U79" s="10"/>
    </row>
    <row r="80" spans="1:21" s="3" customFormat="1" ht="13.5" thickBot="1" x14ac:dyDescent="0.35">
      <c r="A80" s="96"/>
      <c r="B80" s="96"/>
      <c r="C80" s="106" t="s">
        <v>44</v>
      </c>
      <c r="D80" s="108"/>
      <c r="E80" s="108"/>
      <c r="F80" s="170"/>
      <c r="G80" s="108">
        <f t="shared" ref="G80:N80" si="32">G72</f>
        <v>0</v>
      </c>
      <c r="H80" s="108">
        <f t="shared" si="32"/>
        <v>26800</v>
      </c>
      <c r="I80" s="108">
        <f t="shared" si="32"/>
        <v>0</v>
      </c>
      <c r="J80" s="108">
        <f t="shared" si="32"/>
        <v>243494.69399622039</v>
      </c>
      <c r="K80" s="108">
        <f t="shared" si="32"/>
        <v>0</v>
      </c>
      <c r="L80" s="108">
        <f t="shared" si="32"/>
        <v>0</v>
      </c>
      <c r="M80" s="108">
        <f t="shared" si="32"/>
        <v>243494.69399622039</v>
      </c>
      <c r="N80" s="108">
        <f t="shared" si="32"/>
        <v>0</v>
      </c>
      <c r="O80" s="108"/>
      <c r="P80" s="59"/>
      <c r="Q80" s="59">
        <f t="shared" si="31"/>
        <v>0</v>
      </c>
      <c r="R80" s="5"/>
      <c r="S80" s="4"/>
      <c r="T80" s="4"/>
      <c r="U80" s="4"/>
    </row>
    <row r="81" spans="1:21" ht="13.5" thickBot="1" x14ac:dyDescent="0.35">
      <c r="A81" s="96"/>
      <c r="B81" s="96"/>
      <c r="C81" s="18"/>
      <c r="D81" s="10"/>
      <c r="E81" s="10"/>
      <c r="F81" s="68"/>
      <c r="G81" s="68"/>
      <c r="H81" s="10"/>
      <c r="I81" s="10"/>
      <c r="J81" s="159"/>
      <c r="K81" s="159"/>
      <c r="L81" s="10"/>
      <c r="M81" s="10"/>
      <c r="N81" s="10"/>
      <c r="O81" s="10"/>
      <c r="P81" s="59"/>
      <c r="Q81" s="59">
        <f t="shared" si="22"/>
        <v>0</v>
      </c>
      <c r="R81" s="10"/>
      <c r="S81" s="10"/>
      <c r="T81" s="10"/>
      <c r="U81" s="10"/>
    </row>
    <row r="82" spans="1:21" s="3" customFormat="1" ht="13.5" outlineLevel="1" thickBot="1" x14ac:dyDescent="0.35">
      <c r="A82" s="96"/>
      <c r="B82" s="96"/>
      <c r="C82" s="23" t="s">
        <v>45</v>
      </c>
      <c r="D82" s="22"/>
      <c r="E82" s="22"/>
      <c r="F82" s="69"/>
      <c r="G82" s="69"/>
      <c r="H82" s="178"/>
      <c r="I82" s="178"/>
      <c r="J82" s="157"/>
      <c r="K82" s="157"/>
      <c r="L82" s="20"/>
      <c r="M82" s="20"/>
      <c r="N82" s="20"/>
      <c r="O82" s="19"/>
      <c r="P82" s="59"/>
      <c r="Q82" s="59">
        <f t="shared" si="22"/>
        <v>0</v>
      </c>
      <c r="R82" s="21"/>
      <c r="S82" s="20"/>
      <c r="T82" s="20"/>
      <c r="U82" s="19"/>
    </row>
    <row r="83" spans="1:21" outlineLevel="1" x14ac:dyDescent="0.3">
      <c r="A83" s="96"/>
      <c r="B83" s="96"/>
      <c r="C83" s="18"/>
      <c r="D83" s="10"/>
      <c r="E83" s="10"/>
      <c r="F83" s="68"/>
      <c r="G83" s="68"/>
      <c r="H83" s="10"/>
      <c r="I83" s="10"/>
      <c r="J83" s="159"/>
      <c r="K83" s="159"/>
      <c r="L83" s="10"/>
      <c r="M83" s="10"/>
      <c r="N83" s="10"/>
      <c r="O83" s="10"/>
      <c r="P83" s="59"/>
      <c r="Q83" s="59">
        <f t="shared" si="22"/>
        <v>0</v>
      </c>
      <c r="R83" s="10"/>
      <c r="S83" s="10"/>
      <c r="T83" s="10"/>
      <c r="U83" s="10"/>
    </row>
    <row r="84" spans="1:21" outlineLevel="1" x14ac:dyDescent="0.3">
      <c r="A84" s="96"/>
      <c r="B84" s="96"/>
      <c r="C84" s="36" t="s">
        <v>46</v>
      </c>
      <c r="D84" s="36"/>
      <c r="E84" s="36"/>
      <c r="F84" s="174"/>
      <c r="G84" s="36">
        <f t="shared" ref="G84:N84" si="33">SUM(G85:G86)</f>
        <v>0</v>
      </c>
      <c r="H84" s="36">
        <f t="shared" si="33"/>
        <v>13000</v>
      </c>
      <c r="I84" s="36">
        <f t="shared" si="33"/>
        <v>0</v>
      </c>
      <c r="J84" s="158">
        <f t="shared" si="33"/>
        <v>118113.0978339875</v>
      </c>
      <c r="K84" s="158">
        <f t="shared" si="33"/>
        <v>0</v>
      </c>
      <c r="L84" s="36">
        <f t="shared" si="33"/>
        <v>0</v>
      </c>
      <c r="M84" s="36">
        <f t="shared" si="33"/>
        <v>118113.0978339875</v>
      </c>
      <c r="N84" s="36">
        <f t="shared" si="33"/>
        <v>0</v>
      </c>
      <c r="O84" s="36"/>
      <c r="P84" s="59"/>
      <c r="Q84" s="59">
        <f t="shared" si="22"/>
        <v>0</v>
      </c>
      <c r="R84" s="15"/>
      <c r="S84" s="15"/>
      <c r="T84" s="15"/>
      <c r="U84" s="15"/>
    </row>
    <row r="85" spans="1:21" outlineLevel="1" x14ac:dyDescent="0.3">
      <c r="A85" s="96" t="s">
        <v>173</v>
      </c>
      <c r="B85" s="96"/>
      <c r="C85" s="14" t="s">
        <v>47</v>
      </c>
      <c r="D85" s="15" t="s">
        <v>30</v>
      </c>
      <c r="E85" s="202">
        <v>8000</v>
      </c>
      <c r="F85" s="60">
        <v>1</v>
      </c>
      <c r="G85" s="66"/>
      <c r="H85" s="173">
        <f>F85*E85</f>
        <v>8000</v>
      </c>
      <c r="I85" s="173"/>
      <c r="J85" s="139">
        <f>+H85/$J$6</f>
        <v>72684.983282453846</v>
      </c>
      <c r="K85" s="139"/>
      <c r="L85" s="12"/>
      <c r="M85" s="12">
        <f>J85</f>
        <v>72684.983282453846</v>
      </c>
      <c r="N85" s="12"/>
      <c r="O85" s="12"/>
      <c r="P85" s="59"/>
      <c r="Q85" s="59">
        <f t="shared" si="22"/>
        <v>0</v>
      </c>
      <c r="R85" s="15"/>
      <c r="S85" s="15"/>
      <c r="T85" s="15"/>
      <c r="U85" s="15"/>
    </row>
    <row r="86" spans="1:21" outlineLevel="1" x14ac:dyDescent="0.3">
      <c r="A86" s="96" t="s">
        <v>173</v>
      </c>
      <c r="B86" s="96"/>
      <c r="C86" s="14" t="s">
        <v>48</v>
      </c>
      <c r="D86" s="34" t="s">
        <v>9</v>
      </c>
      <c r="E86" s="202">
        <v>5000</v>
      </c>
      <c r="F86" s="60">
        <v>1</v>
      </c>
      <c r="G86" s="66"/>
      <c r="H86" s="173">
        <f>F86*E86</f>
        <v>5000</v>
      </c>
      <c r="I86" s="173"/>
      <c r="J86" s="139">
        <f>+H86/$J$6</f>
        <v>45428.114551533654</v>
      </c>
      <c r="K86" s="139"/>
      <c r="L86" s="12"/>
      <c r="M86" s="12">
        <f>J86</f>
        <v>45428.114551533654</v>
      </c>
      <c r="N86" s="12"/>
      <c r="O86" s="12"/>
      <c r="P86" s="59"/>
      <c r="Q86" s="59"/>
      <c r="R86" s="15"/>
      <c r="S86" s="15"/>
      <c r="T86" s="15"/>
      <c r="U86" s="15"/>
    </row>
    <row r="87" spans="1:21" ht="13.5" outlineLevel="1" thickBot="1" x14ac:dyDescent="0.35">
      <c r="A87" s="96"/>
      <c r="B87" s="96"/>
      <c r="C87" s="18"/>
      <c r="D87" s="10"/>
      <c r="E87" s="10"/>
      <c r="F87" s="68"/>
      <c r="G87" s="68"/>
      <c r="H87" s="10"/>
      <c r="I87" s="10"/>
      <c r="J87" s="159"/>
      <c r="K87" s="159"/>
      <c r="L87" s="10"/>
      <c r="M87" s="10"/>
      <c r="N87" s="10"/>
      <c r="O87" s="10"/>
      <c r="P87" s="59"/>
      <c r="Q87" s="59">
        <f t="shared" ref="Q87:Q89" si="34">+J87-L87-M87-N87</f>
        <v>0</v>
      </c>
      <c r="R87" s="10"/>
      <c r="S87" s="10"/>
      <c r="T87" s="10"/>
      <c r="U87" s="10"/>
    </row>
    <row r="88" spans="1:21" s="3" customFormat="1" ht="13.5" thickBot="1" x14ac:dyDescent="0.35">
      <c r="A88" s="96"/>
      <c r="B88" s="96"/>
      <c r="C88" s="106" t="s">
        <v>49</v>
      </c>
      <c r="D88" s="108"/>
      <c r="E88" s="108"/>
      <c r="F88" s="170"/>
      <c r="G88" s="108">
        <f t="shared" ref="G88:N88" si="35">+G84</f>
        <v>0</v>
      </c>
      <c r="H88" s="108">
        <f t="shared" si="35"/>
        <v>13000</v>
      </c>
      <c r="I88" s="108">
        <f t="shared" si="35"/>
        <v>0</v>
      </c>
      <c r="J88" s="108">
        <f t="shared" si="35"/>
        <v>118113.0978339875</v>
      </c>
      <c r="K88" s="108">
        <f t="shared" si="35"/>
        <v>0</v>
      </c>
      <c r="L88" s="108">
        <f t="shared" si="35"/>
        <v>0</v>
      </c>
      <c r="M88" s="108">
        <f t="shared" si="35"/>
        <v>118113.0978339875</v>
      </c>
      <c r="N88" s="108">
        <f t="shared" si="35"/>
        <v>0</v>
      </c>
      <c r="O88" s="108"/>
      <c r="P88" s="59"/>
      <c r="Q88" s="59">
        <f t="shared" si="34"/>
        <v>0</v>
      </c>
      <c r="R88" s="5"/>
      <c r="S88" s="4"/>
      <c r="T88" s="4"/>
      <c r="U88" s="4"/>
    </row>
    <row r="89" spans="1:21" ht="13.5" thickBot="1" x14ac:dyDescent="0.35">
      <c r="A89" s="96"/>
      <c r="B89" s="96"/>
      <c r="C89" s="18"/>
      <c r="D89" s="10"/>
      <c r="E89" s="10"/>
      <c r="F89" s="68"/>
      <c r="G89" s="68"/>
      <c r="H89" s="10"/>
      <c r="I89" s="10"/>
      <c r="J89" s="159"/>
      <c r="K89" s="159"/>
      <c r="L89" s="10"/>
      <c r="M89" s="10"/>
      <c r="N89" s="10"/>
      <c r="O89" s="10"/>
      <c r="P89" s="59"/>
      <c r="Q89" s="59">
        <f t="shared" si="34"/>
        <v>0</v>
      </c>
      <c r="R89" s="10"/>
      <c r="S89" s="10"/>
      <c r="T89" s="10"/>
      <c r="U89" s="10"/>
    </row>
    <row r="90" spans="1:21" ht="13.5" thickBot="1" x14ac:dyDescent="0.35">
      <c r="A90" s="96"/>
      <c r="B90" s="96"/>
      <c r="C90" s="110" t="s">
        <v>50</v>
      </c>
      <c r="D90" s="118"/>
      <c r="E90" s="118"/>
      <c r="F90" s="204"/>
      <c r="G90" s="112">
        <f>+G68+G57</f>
        <v>0</v>
      </c>
      <c r="H90" s="112">
        <f>+H68+H57+H84+H72</f>
        <v>116306</v>
      </c>
      <c r="I90" s="112">
        <f>+I68+I57</f>
        <v>0</v>
      </c>
      <c r="J90" s="112">
        <f>+J68+J57+J84+J72</f>
        <v>1056712.4582061346</v>
      </c>
      <c r="K90" s="150">
        <f>+K68+K57</f>
        <v>0</v>
      </c>
      <c r="L90" s="112">
        <f>+L68+L57</f>
        <v>0</v>
      </c>
      <c r="M90" s="112">
        <f>+M68+M57+M84+M72</f>
        <v>1056712.4582061346</v>
      </c>
      <c r="N90" s="112">
        <f>+N68+N57</f>
        <v>0</v>
      </c>
      <c r="O90" s="112"/>
      <c r="P90" s="59"/>
      <c r="Q90" s="59">
        <f t="shared" si="22"/>
        <v>0</v>
      </c>
      <c r="R90" s="9"/>
      <c r="S90" s="8"/>
      <c r="T90" s="8"/>
      <c r="U90" s="8"/>
    </row>
    <row r="91" spans="1:21" ht="13.5" thickBot="1" x14ac:dyDescent="0.35">
      <c r="A91" s="96"/>
      <c r="B91" s="96"/>
      <c r="C91" s="18"/>
      <c r="D91" s="10"/>
      <c r="E91" s="10"/>
      <c r="F91" s="68"/>
      <c r="G91" s="68"/>
      <c r="H91" s="10"/>
      <c r="I91" s="10"/>
      <c r="J91" s="159"/>
      <c r="K91" s="159"/>
      <c r="L91" s="10"/>
      <c r="M91" s="10"/>
      <c r="N91" s="10"/>
      <c r="O91" s="10"/>
      <c r="P91" s="59"/>
      <c r="Q91" s="59"/>
      <c r="R91" s="10"/>
      <c r="S91" s="10"/>
      <c r="T91" s="10"/>
      <c r="U91" s="10"/>
    </row>
    <row r="92" spans="1:21" ht="13.5" thickBot="1" x14ac:dyDescent="0.35">
      <c r="C92" s="76" t="s">
        <v>178</v>
      </c>
      <c r="D92" s="75"/>
      <c r="E92" s="75"/>
      <c r="F92" s="74"/>
      <c r="G92" s="74"/>
      <c r="H92" s="180"/>
      <c r="I92" s="180"/>
      <c r="J92" s="155"/>
      <c r="K92" s="155"/>
      <c r="L92" s="73"/>
      <c r="M92" s="73"/>
      <c r="N92" s="73"/>
      <c r="O92" s="120"/>
      <c r="P92" s="59"/>
      <c r="Q92" s="59">
        <f t="shared" si="22"/>
        <v>0</v>
      </c>
      <c r="R92" s="41"/>
      <c r="S92" s="40"/>
      <c r="T92" s="40"/>
      <c r="U92" s="39"/>
    </row>
    <row r="93" spans="1:21" ht="13.5" outlineLevel="1" thickBot="1" x14ac:dyDescent="0.35">
      <c r="C93" s="38"/>
      <c r="D93" s="42"/>
      <c r="E93" s="42"/>
      <c r="F93" s="78"/>
      <c r="G93" s="78"/>
      <c r="H93" s="42"/>
      <c r="I93" s="42"/>
      <c r="J93" s="160"/>
      <c r="K93" s="160"/>
      <c r="L93" s="42"/>
      <c r="M93" s="42"/>
      <c r="N93" s="42"/>
      <c r="O93" s="42"/>
      <c r="P93" s="59"/>
      <c r="Q93" s="59">
        <f t="shared" si="22"/>
        <v>0</v>
      </c>
      <c r="R93" s="42"/>
      <c r="S93" s="42"/>
      <c r="T93" s="42"/>
      <c r="U93" s="42"/>
    </row>
    <row r="94" spans="1:21" ht="13.5" outlineLevel="1" thickBot="1" x14ac:dyDescent="0.35">
      <c r="A94" s="96"/>
      <c r="B94" s="96"/>
      <c r="C94" s="23" t="s">
        <v>179</v>
      </c>
      <c r="D94" s="22"/>
      <c r="E94" s="22"/>
      <c r="F94" s="69"/>
      <c r="G94" s="69"/>
      <c r="H94" s="178"/>
      <c r="I94" s="178"/>
      <c r="J94" s="157"/>
      <c r="K94" s="157"/>
      <c r="L94" s="20"/>
      <c r="M94" s="20"/>
      <c r="N94" s="20"/>
      <c r="O94" s="19"/>
      <c r="P94" s="59"/>
      <c r="Q94" s="59">
        <f t="shared" si="22"/>
        <v>0</v>
      </c>
      <c r="R94" s="21"/>
      <c r="S94" s="20"/>
      <c r="T94" s="20"/>
      <c r="U94" s="19"/>
    </row>
    <row r="95" spans="1:21" outlineLevel="1" x14ac:dyDescent="0.3">
      <c r="A95" s="96"/>
      <c r="B95" s="96"/>
      <c r="C95" s="48"/>
      <c r="D95" s="42"/>
      <c r="E95" s="42"/>
      <c r="F95" s="78"/>
      <c r="G95" s="78"/>
      <c r="H95" s="42"/>
      <c r="I95" s="42"/>
      <c r="J95" s="160"/>
      <c r="K95" s="160"/>
      <c r="L95" s="42"/>
      <c r="M95" s="42"/>
      <c r="N95" s="42"/>
      <c r="O95" s="42"/>
      <c r="P95" s="59"/>
      <c r="Q95" s="59">
        <f t="shared" si="22"/>
        <v>0</v>
      </c>
      <c r="R95" s="42"/>
      <c r="S95" s="42"/>
      <c r="T95" s="42"/>
      <c r="U95" s="42"/>
    </row>
    <row r="96" spans="1:21" outlineLevel="1" x14ac:dyDescent="0.3">
      <c r="A96" s="96"/>
      <c r="B96" s="96"/>
      <c r="C96" s="36" t="s">
        <v>51</v>
      </c>
      <c r="D96" s="36"/>
      <c r="E96" s="36"/>
      <c r="F96" s="174"/>
      <c r="G96" s="36">
        <f>SUM(G97:G104)</f>
        <v>0</v>
      </c>
      <c r="H96" s="36">
        <f t="shared" ref="H96:I96" si="36">SUM(H97:H104)</f>
        <v>16652</v>
      </c>
      <c r="I96" s="36">
        <f t="shared" si="36"/>
        <v>0</v>
      </c>
      <c r="J96" s="158">
        <f>SUM(J97:J104)</f>
        <v>151293.79270242766</v>
      </c>
      <c r="K96" s="158">
        <f>SUM(K97:K104)</f>
        <v>0</v>
      </c>
      <c r="L96" s="36">
        <f>SUM(L97:L104)</f>
        <v>0</v>
      </c>
      <c r="M96" s="36">
        <f>SUM(M97:M104)</f>
        <v>151293.79270242766</v>
      </c>
      <c r="N96" s="36">
        <f>SUM(N97:N104)</f>
        <v>0</v>
      </c>
      <c r="O96" s="36"/>
      <c r="P96" s="59"/>
      <c r="Q96" s="59">
        <f t="shared" si="22"/>
        <v>0</v>
      </c>
      <c r="R96" s="47"/>
      <c r="S96" s="47"/>
      <c r="T96" s="47"/>
      <c r="U96" s="47"/>
    </row>
    <row r="97" spans="1:21" outlineLevel="1" x14ac:dyDescent="0.3">
      <c r="A97" s="96" t="s">
        <v>173</v>
      </c>
      <c r="B97" s="96"/>
      <c r="C97" s="14" t="s">
        <v>180</v>
      </c>
      <c r="D97" s="47" t="s">
        <v>8</v>
      </c>
      <c r="E97" s="202">
        <v>550</v>
      </c>
      <c r="F97" s="60">
        <v>2</v>
      </c>
      <c r="G97" s="66"/>
      <c r="H97" s="173">
        <f t="shared" ref="H97:H104" si="37">F97*E97</f>
        <v>1100</v>
      </c>
      <c r="I97" s="173"/>
      <c r="J97" s="139">
        <f t="shared" ref="J97:J104" si="38">+H97/$J$6</f>
        <v>9994.1852013374046</v>
      </c>
      <c r="K97" s="139"/>
      <c r="L97" s="12"/>
      <c r="M97" s="12">
        <f t="shared" ref="M97:M104" si="39">J97</f>
        <v>9994.1852013374046</v>
      </c>
      <c r="N97" s="12"/>
      <c r="O97" s="12"/>
      <c r="P97" s="59"/>
      <c r="Q97" s="59">
        <f t="shared" si="22"/>
        <v>0</v>
      </c>
      <c r="R97" s="47"/>
      <c r="S97" s="47"/>
      <c r="T97" s="47"/>
      <c r="U97" s="47"/>
    </row>
    <row r="98" spans="1:21" outlineLevel="1" x14ac:dyDescent="0.3">
      <c r="A98" s="96" t="s">
        <v>173</v>
      </c>
      <c r="B98" s="96"/>
      <c r="C98" s="14" t="s">
        <v>181</v>
      </c>
      <c r="D98" s="47" t="s">
        <v>8</v>
      </c>
      <c r="E98" s="202">
        <v>4406</v>
      </c>
      <c r="F98" s="60">
        <v>1</v>
      </c>
      <c r="G98" s="66"/>
      <c r="H98" s="173">
        <f t="shared" si="37"/>
        <v>4406</v>
      </c>
      <c r="I98" s="173"/>
      <c r="J98" s="139">
        <f t="shared" si="38"/>
        <v>40031.254542811454</v>
      </c>
      <c r="K98" s="139"/>
      <c r="L98" s="12"/>
      <c r="M98" s="12">
        <f t="shared" si="39"/>
        <v>40031.254542811454</v>
      </c>
      <c r="N98" s="12"/>
      <c r="O98" s="12"/>
      <c r="P98" s="59"/>
      <c r="Q98" s="59"/>
      <c r="R98" s="47"/>
      <c r="S98" s="47"/>
      <c r="T98" s="47"/>
      <c r="U98" s="47"/>
    </row>
    <row r="99" spans="1:21" outlineLevel="1" x14ac:dyDescent="0.3">
      <c r="A99" s="96" t="s">
        <v>173</v>
      </c>
      <c r="B99" s="96"/>
      <c r="C99" s="14" t="s">
        <v>182</v>
      </c>
      <c r="D99" s="47" t="s">
        <v>8</v>
      </c>
      <c r="E99" s="202">
        <v>750</v>
      </c>
      <c r="F99" s="60">
        <v>2</v>
      </c>
      <c r="G99" s="66"/>
      <c r="H99" s="173">
        <f t="shared" si="37"/>
        <v>1500</v>
      </c>
      <c r="I99" s="173"/>
      <c r="J99" s="139">
        <f t="shared" si="38"/>
        <v>13628.434365460096</v>
      </c>
      <c r="K99" s="139"/>
      <c r="L99" s="12"/>
      <c r="M99" s="12">
        <f t="shared" si="39"/>
        <v>13628.434365460096</v>
      </c>
      <c r="N99" s="12"/>
      <c r="O99" s="12"/>
      <c r="P99" s="59"/>
      <c r="Q99" s="59"/>
      <c r="R99" s="47"/>
      <c r="S99" s="47"/>
      <c r="T99" s="47"/>
      <c r="U99" s="47"/>
    </row>
    <row r="100" spans="1:21" outlineLevel="1" x14ac:dyDescent="0.3">
      <c r="A100" s="96" t="s">
        <v>173</v>
      </c>
      <c r="B100" s="96"/>
      <c r="C100" s="14" t="s">
        <v>183</v>
      </c>
      <c r="D100" s="47" t="s">
        <v>30</v>
      </c>
      <c r="E100" s="202">
        <v>106</v>
      </c>
      <c r="F100" s="60">
        <v>4</v>
      </c>
      <c r="G100" s="66"/>
      <c r="H100" s="173">
        <f t="shared" si="37"/>
        <v>424</v>
      </c>
      <c r="I100" s="173"/>
      <c r="J100" s="139">
        <f t="shared" si="38"/>
        <v>3852.304113970054</v>
      </c>
      <c r="K100" s="139"/>
      <c r="L100" s="12"/>
      <c r="M100" s="12">
        <f t="shared" si="39"/>
        <v>3852.304113970054</v>
      </c>
      <c r="N100" s="12"/>
      <c r="O100" s="12"/>
      <c r="P100" s="59"/>
      <c r="Q100" s="59"/>
      <c r="R100" s="47"/>
      <c r="S100" s="47"/>
      <c r="T100" s="47"/>
      <c r="U100" s="47"/>
    </row>
    <row r="101" spans="1:21" outlineLevel="1" x14ac:dyDescent="0.3">
      <c r="A101" s="96" t="s">
        <v>173</v>
      </c>
      <c r="B101" s="96"/>
      <c r="C101" s="14" t="s">
        <v>184</v>
      </c>
      <c r="D101" s="47" t="s">
        <v>9</v>
      </c>
      <c r="E101" s="202">
        <v>317</v>
      </c>
      <c r="F101" s="60">
        <v>10</v>
      </c>
      <c r="G101" s="66"/>
      <c r="H101" s="173">
        <f t="shared" si="37"/>
        <v>3170</v>
      </c>
      <c r="I101" s="173"/>
      <c r="J101" s="139">
        <f t="shared" si="38"/>
        <v>28801.424625672338</v>
      </c>
      <c r="K101" s="139"/>
      <c r="L101" s="12"/>
      <c r="M101" s="12">
        <f t="shared" si="39"/>
        <v>28801.424625672338</v>
      </c>
      <c r="N101" s="12"/>
      <c r="O101" s="12"/>
      <c r="P101" s="59"/>
      <c r="Q101" s="59"/>
      <c r="R101" s="47"/>
      <c r="S101" s="47"/>
      <c r="T101" s="47"/>
      <c r="U101" s="47"/>
    </row>
    <row r="102" spans="1:21" outlineLevel="1" x14ac:dyDescent="0.3">
      <c r="A102" s="96" t="s">
        <v>173</v>
      </c>
      <c r="B102" s="96"/>
      <c r="C102" s="14" t="s">
        <v>185</v>
      </c>
      <c r="D102" s="47" t="s">
        <v>6</v>
      </c>
      <c r="E102" s="216">
        <v>4.13</v>
      </c>
      <c r="F102" s="60">
        <v>400</v>
      </c>
      <c r="G102" s="66"/>
      <c r="H102" s="173">
        <f>F102*E102</f>
        <v>1652</v>
      </c>
      <c r="I102" s="173"/>
      <c r="J102" s="139">
        <f t="shared" si="38"/>
        <v>15009.44904782672</v>
      </c>
      <c r="K102" s="139"/>
      <c r="L102" s="12"/>
      <c r="M102" s="12">
        <f t="shared" si="39"/>
        <v>15009.44904782672</v>
      </c>
      <c r="N102" s="12"/>
      <c r="O102" s="12"/>
      <c r="P102" s="59"/>
      <c r="Q102" s="59"/>
      <c r="R102" s="47"/>
      <c r="S102" s="47"/>
      <c r="T102" s="47"/>
      <c r="U102" s="47"/>
    </row>
    <row r="103" spans="1:21" outlineLevel="1" x14ac:dyDescent="0.3">
      <c r="A103" s="96" t="s">
        <v>173</v>
      </c>
      <c r="B103" s="96"/>
      <c r="C103" s="14" t="s">
        <v>186</v>
      </c>
      <c r="D103" s="15" t="s">
        <v>187</v>
      </c>
      <c r="E103" s="202">
        <v>1500</v>
      </c>
      <c r="F103" s="60">
        <v>2</v>
      </c>
      <c r="G103" s="66"/>
      <c r="H103" s="173">
        <f t="shared" si="37"/>
        <v>3000</v>
      </c>
      <c r="I103" s="173"/>
      <c r="J103" s="139">
        <f t="shared" si="38"/>
        <v>27256.868730920192</v>
      </c>
      <c r="K103" s="139"/>
      <c r="L103" s="12"/>
      <c r="M103" s="12">
        <f t="shared" si="39"/>
        <v>27256.868730920192</v>
      </c>
      <c r="N103" s="12"/>
      <c r="O103" s="12"/>
      <c r="P103" s="59"/>
      <c r="Q103" s="59">
        <f t="shared" ref="Q103:Q111" si="40">+J103-L103-M103-N103</f>
        <v>0</v>
      </c>
      <c r="R103" s="47"/>
      <c r="S103" s="47"/>
      <c r="T103" s="47"/>
      <c r="U103" s="47"/>
    </row>
    <row r="104" spans="1:21" outlineLevel="1" x14ac:dyDescent="0.3">
      <c r="A104" s="96" t="s">
        <v>173</v>
      </c>
      <c r="B104" s="96"/>
      <c r="C104" s="14" t="s">
        <v>188</v>
      </c>
      <c r="D104" s="15" t="s">
        <v>189</v>
      </c>
      <c r="E104" s="202">
        <v>70</v>
      </c>
      <c r="F104" s="60">
        <v>20</v>
      </c>
      <c r="G104" s="66"/>
      <c r="H104" s="173">
        <f t="shared" si="37"/>
        <v>1400</v>
      </c>
      <c r="I104" s="173"/>
      <c r="J104" s="139">
        <f t="shared" si="38"/>
        <v>12719.872074429424</v>
      </c>
      <c r="K104" s="139"/>
      <c r="L104" s="12"/>
      <c r="M104" s="12">
        <f t="shared" si="39"/>
        <v>12719.872074429424</v>
      </c>
      <c r="N104" s="12"/>
      <c r="O104" s="12"/>
      <c r="P104" s="59"/>
      <c r="Q104" s="59">
        <f t="shared" si="40"/>
        <v>0</v>
      </c>
      <c r="R104" s="11"/>
      <c r="S104" s="11"/>
      <c r="T104" s="11"/>
      <c r="U104" s="11"/>
    </row>
    <row r="105" spans="1:21" ht="13.5" outlineLevel="1" thickBot="1" x14ac:dyDescent="0.35">
      <c r="A105" s="96"/>
      <c r="B105" s="96"/>
      <c r="C105" s="18"/>
      <c r="D105" s="10"/>
      <c r="E105" s="10"/>
      <c r="F105" s="68"/>
      <c r="G105" s="68"/>
      <c r="H105" s="10"/>
      <c r="I105" s="10"/>
      <c r="J105" s="159"/>
      <c r="K105" s="159"/>
      <c r="L105" s="10"/>
      <c r="M105" s="10"/>
      <c r="N105" s="10"/>
      <c r="O105" s="10"/>
      <c r="P105" s="59"/>
      <c r="Q105" s="59">
        <f t="shared" si="40"/>
        <v>0</v>
      </c>
      <c r="R105" s="10"/>
      <c r="S105" s="10"/>
      <c r="T105" s="10"/>
      <c r="U105" s="10"/>
    </row>
    <row r="106" spans="1:21" ht="13.5" thickBot="1" x14ac:dyDescent="0.35">
      <c r="A106" s="96"/>
      <c r="B106" s="96"/>
      <c r="C106" s="106" t="s">
        <v>52</v>
      </c>
      <c r="D106" s="106"/>
      <c r="E106" s="106"/>
      <c r="F106" s="119"/>
      <c r="G106" s="108">
        <f t="shared" ref="G106:N106" si="41">+G96</f>
        <v>0</v>
      </c>
      <c r="H106" s="108">
        <f t="shared" si="41"/>
        <v>16652</v>
      </c>
      <c r="I106" s="108">
        <f t="shared" si="41"/>
        <v>0</v>
      </c>
      <c r="J106" s="108">
        <f t="shared" si="41"/>
        <v>151293.79270242766</v>
      </c>
      <c r="K106" s="108">
        <f t="shared" si="41"/>
        <v>0</v>
      </c>
      <c r="L106" s="108">
        <f t="shared" si="41"/>
        <v>0</v>
      </c>
      <c r="M106" s="108">
        <f t="shared" si="41"/>
        <v>151293.79270242766</v>
      </c>
      <c r="N106" s="108">
        <f t="shared" si="41"/>
        <v>0</v>
      </c>
      <c r="O106" s="108"/>
      <c r="P106" s="59"/>
      <c r="Q106" s="59">
        <f t="shared" si="40"/>
        <v>0</v>
      </c>
      <c r="R106" s="5"/>
      <c r="S106" s="4"/>
      <c r="T106" s="4"/>
      <c r="U106" s="4"/>
    </row>
    <row r="107" spans="1:21" ht="13.5" thickBot="1" x14ac:dyDescent="0.35">
      <c r="A107" s="96"/>
      <c r="B107" s="96"/>
      <c r="C107" s="18"/>
      <c r="D107" s="10"/>
      <c r="E107" s="10"/>
      <c r="F107" s="68"/>
      <c r="G107" s="68"/>
      <c r="H107" s="10"/>
      <c r="I107" s="10"/>
      <c r="J107" s="159"/>
      <c r="K107" s="159"/>
      <c r="L107" s="10"/>
      <c r="M107" s="10"/>
      <c r="N107" s="10"/>
      <c r="O107" s="10"/>
      <c r="P107" s="59"/>
      <c r="Q107" s="59">
        <f t="shared" si="40"/>
        <v>0</v>
      </c>
      <c r="R107" s="10"/>
      <c r="S107" s="10"/>
      <c r="T107" s="10"/>
      <c r="U107" s="10"/>
    </row>
    <row r="108" spans="1:21" s="3" customFormat="1" ht="13.5" outlineLevel="1" thickBot="1" x14ac:dyDescent="0.35">
      <c r="A108" s="96"/>
      <c r="B108" s="96"/>
      <c r="C108" s="23" t="s">
        <v>190</v>
      </c>
      <c r="D108" s="22"/>
      <c r="E108" s="22"/>
      <c r="F108" s="69"/>
      <c r="G108" s="69"/>
      <c r="H108" s="178"/>
      <c r="I108" s="178"/>
      <c r="J108" s="157"/>
      <c r="K108" s="157"/>
      <c r="L108" s="20"/>
      <c r="M108" s="20"/>
      <c r="N108" s="20"/>
      <c r="O108" s="19"/>
      <c r="P108" s="59"/>
      <c r="Q108" s="59">
        <f t="shared" si="40"/>
        <v>0</v>
      </c>
      <c r="R108" s="21"/>
      <c r="S108" s="20"/>
      <c r="T108" s="20"/>
      <c r="U108" s="19"/>
    </row>
    <row r="109" spans="1:21" outlineLevel="1" x14ac:dyDescent="0.3">
      <c r="A109" s="96"/>
      <c r="B109" s="96"/>
      <c r="C109" s="18"/>
      <c r="D109" s="10"/>
      <c r="E109" s="10"/>
      <c r="F109" s="68"/>
      <c r="G109" s="68"/>
      <c r="H109" s="10"/>
      <c r="I109" s="10"/>
      <c r="J109" s="159"/>
      <c r="K109" s="159"/>
      <c r="L109" s="10"/>
      <c r="M109" s="10"/>
      <c r="N109" s="10"/>
      <c r="O109" s="10"/>
      <c r="P109" s="59"/>
      <c r="Q109" s="59">
        <f t="shared" si="40"/>
        <v>0</v>
      </c>
      <c r="R109" s="10"/>
      <c r="S109" s="10"/>
      <c r="T109" s="10"/>
      <c r="U109" s="10"/>
    </row>
    <row r="110" spans="1:21" outlineLevel="1" x14ac:dyDescent="0.3">
      <c r="A110" s="96"/>
      <c r="B110" s="96"/>
      <c r="C110" s="36" t="s">
        <v>191</v>
      </c>
      <c r="D110" s="36"/>
      <c r="E110" s="36"/>
      <c r="F110" s="174"/>
      <c r="G110" s="36">
        <f t="shared" ref="G110:N110" si="42">SUM(G111:G112)</f>
        <v>0</v>
      </c>
      <c r="H110" s="36">
        <f t="shared" si="42"/>
        <v>2880</v>
      </c>
      <c r="I110" s="36">
        <f t="shared" si="42"/>
        <v>0</v>
      </c>
      <c r="J110" s="158">
        <f t="shared" si="42"/>
        <v>26166.593981683385</v>
      </c>
      <c r="K110" s="158">
        <f t="shared" si="42"/>
        <v>0</v>
      </c>
      <c r="L110" s="36">
        <f t="shared" si="42"/>
        <v>0</v>
      </c>
      <c r="M110" s="36">
        <f t="shared" si="42"/>
        <v>26166.593981683385</v>
      </c>
      <c r="N110" s="36">
        <f t="shared" si="42"/>
        <v>0</v>
      </c>
      <c r="O110" s="36"/>
      <c r="P110" s="59"/>
      <c r="Q110" s="59">
        <f t="shared" si="40"/>
        <v>0</v>
      </c>
      <c r="R110" s="15"/>
      <c r="S110" s="15"/>
      <c r="T110" s="15"/>
      <c r="U110" s="15"/>
    </row>
    <row r="111" spans="1:21" outlineLevel="1" x14ac:dyDescent="0.3">
      <c r="A111" s="96" t="s">
        <v>173</v>
      </c>
      <c r="B111" s="96"/>
      <c r="C111" s="14" t="s">
        <v>192</v>
      </c>
      <c r="D111" s="15" t="s">
        <v>193</v>
      </c>
      <c r="E111" s="202">
        <v>1000</v>
      </c>
      <c r="F111" s="60">
        <v>1</v>
      </c>
      <c r="G111" s="66"/>
      <c r="H111" s="173">
        <f>F111*E111</f>
        <v>1000</v>
      </c>
      <c r="I111" s="173"/>
      <c r="J111" s="139">
        <f>+H111/$J$6</f>
        <v>9085.6229103067308</v>
      </c>
      <c r="K111" s="139">
        <f t="shared" ref="K111" si="43">+I111*$K$6</f>
        <v>0</v>
      </c>
      <c r="L111" s="12"/>
      <c r="M111" s="12">
        <f>J111</f>
        <v>9085.6229103067308</v>
      </c>
      <c r="N111" s="12"/>
      <c r="O111" s="12"/>
      <c r="P111" s="59"/>
      <c r="Q111" s="59">
        <f t="shared" si="40"/>
        <v>0</v>
      </c>
      <c r="R111" s="15"/>
      <c r="S111" s="15"/>
      <c r="T111" s="15"/>
      <c r="U111" s="15"/>
    </row>
    <row r="112" spans="1:21" outlineLevel="1" x14ac:dyDescent="0.3">
      <c r="A112" s="96" t="s">
        <v>173</v>
      </c>
      <c r="B112" s="96"/>
      <c r="C112" s="14" t="s">
        <v>194</v>
      </c>
      <c r="D112" s="15" t="s">
        <v>193</v>
      </c>
      <c r="E112" s="202">
        <v>47</v>
      </c>
      <c r="F112" s="60">
        <v>40</v>
      </c>
      <c r="G112" s="66"/>
      <c r="H112" s="173">
        <f>F112*E112</f>
        <v>1880</v>
      </c>
      <c r="I112" s="173"/>
      <c r="J112" s="139">
        <f>+H112/$J$6</f>
        <v>17080.971071376654</v>
      </c>
      <c r="K112" s="139"/>
      <c r="L112" s="12"/>
      <c r="M112" s="12">
        <f>J112</f>
        <v>17080.971071376654</v>
      </c>
      <c r="N112" s="12"/>
      <c r="O112" s="12"/>
      <c r="P112" s="59"/>
      <c r="Q112" s="59"/>
      <c r="R112" s="15"/>
      <c r="S112" s="15"/>
      <c r="T112" s="15"/>
      <c r="U112" s="15"/>
    </row>
    <row r="113" spans="1:21" ht="13.5" outlineLevel="1" thickBot="1" x14ac:dyDescent="0.35">
      <c r="A113" s="96"/>
      <c r="B113" s="96"/>
      <c r="C113" s="18"/>
      <c r="D113" s="10"/>
      <c r="E113" s="10"/>
      <c r="F113" s="68"/>
      <c r="G113" s="68"/>
      <c r="H113" s="10"/>
      <c r="I113" s="10"/>
      <c r="J113" s="159"/>
      <c r="K113" s="159"/>
      <c r="L113" s="10"/>
      <c r="M113" s="10"/>
      <c r="N113" s="10"/>
      <c r="O113" s="10"/>
      <c r="P113" s="59"/>
      <c r="Q113" s="59">
        <f t="shared" ref="Q113:Q114" si="44">+J113-L113-M113-N113</f>
        <v>0</v>
      </c>
      <c r="R113" s="10"/>
      <c r="S113" s="10"/>
      <c r="T113" s="10"/>
      <c r="U113" s="10"/>
    </row>
    <row r="114" spans="1:21" s="3" customFormat="1" ht="13.5" thickBot="1" x14ac:dyDescent="0.35">
      <c r="A114" s="96"/>
      <c r="B114" s="96"/>
      <c r="C114" s="106" t="s">
        <v>53</v>
      </c>
      <c r="D114" s="108"/>
      <c r="E114" s="108"/>
      <c r="F114" s="170"/>
      <c r="G114" s="108">
        <f t="shared" ref="G114:N114" si="45">+G110</f>
        <v>0</v>
      </c>
      <c r="H114" s="108">
        <f t="shared" si="45"/>
        <v>2880</v>
      </c>
      <c r="I114" s="108">
        <f t="shared" si="45"/>
        <v>0</v>
      </c>
      <c r="J114" s="108">
        <f t="shared" si="45"/>
        <v>26166.593981683385</v>
      </c>
      <c r="K114" s="108">
        <f t="shared" si="45"/>
        <v>0</v>
      </c>
      <c r="L114" s="108">
        <f t="shared" si="45"/>
        <v>0</v>
      </c>
      <c r="M114" s="108">
        <f t="shared" si="45"/>
        <v>26166.593981683385</v>
      </c>
      <c r="N114" s="108">
        <f t="shared" si="45"/>
        <v>0</v>
      </c>
      <c r="O114" s="108"/>
      <c r="P114" s="59"/>
      <c r="Q114" s="59">
        <f t="shared" si="44"/>
        <v>0</v>
      </c>
      <c r="R114" s="5"/>
      <c r="S114" s="4"/>
      <c r="T114" s="4"/>
      <c r="U114" s="4"/>
    </row>
    <row r="115" spans="1:21" ht="13.5" thickBot="1" x14ac:dyDescent="0.35">
      <c r="A115" s="96"/>
      <c r="B115" s="96"/>
      <c r="C115" s="18"/>
      <c r="D115" s="10"/>
      <c r="E115" s="10"/>
      <c r="F115" s="68"/>
      <c r="G115" s="68"/>
      <c r="H115" s="10"/>
      <c r="I115" s="10"/>
      <c r="J115" s="159"/>
      <c r="K115" s="159"/>
      <c r="L115" s="10"/>
      <c r="M115" s="10"/>
      <c r="N115" s="10"/>
      <c r="O115" s="10"/>
      <c r="P115" s="59"/>
      <c r="Q115" s="59"/>
      <c r="R115" s="10"/>
      <c r="S115" s="10"/>
      <c r="T115" s="10"/>
      <c r="U115" s="10"/>
    </row>
    <row r="116" spans="1:21" ht="13.5" thickBot="1" x14ac:dyDescent="0.35">
      <c r="A116" s="96"/>
      <c r="B116" s="96"/>
      <c r="C116" s="110" t="s">
        <v>54</v>
      </c>
      <c r="D116" s="118"/>
      <c r="E116" s="118"/>
      <c r="F116" s="204"/>
      <c r="G116" s="112">
        <f t="shared" ref="G116:N116" si="46">+G114+G106</f>
        <v>0</v>
      </c>
      <c r="H116" s="112">
        <f t="shared" si="46"/>
        <v>19532</v>
      </c>
      <c r="I116" s="112">
        <f t="shared" si="46"/>
        <v>0</v>
      </c>
      <c r="J116" s="150">
        <f t="shared" si="46"/>
        <v>177460.38668411103</v>
      </c>
      <c r="K116" s="150">
        <f t="shared" si="46"/>
        <v>0</v>
      </c>
      <c r="L116" s="112">
        <f t="shared" si="46"/>
        <v>0</v>
      </c>
      <c r="M116" s="112">
        <f t="shared" si="46"/>
        <v>177460.38668411103</v>
      </c>
      <c r="N116" s="112">
        <f t="shared" si="46"/>
        <v>0</v>
      </c>
      <c r="O116" s="112"/>
      <c r="P116" s="59"/>
      <c r="Q116" s="59">
        <f t="shared" ref="Q116" si="47">+J116-L116-M116-N116</f>
        <v>0</v>
      </c>
      <c r="R116" s="9"/>
      <c r="S116" s="8"/>
      <c r="T116" s="8"/>
      <c r="U116" s="8"/>
    </row>
    <row r="117" spans="1:21" ht="13.5" thickBot="1" x14ac:dyDescent="0.35">
      <c r="A117" s="96"/>
      <c r="B117" s="96"/>
      <c r="C117" s="7"/>
      <c r="D117" s="35"/>
      <c r="E117" s="35"/>
      <c r="F117" s="72"/>
      <c r="G117" s="72"/>
      <c r="H117" s="35"/>
      <c r="I117" s="35"/>
      <c r="J117" s="160"/>
      <c r="K117" s="160"/>
      <c r="L117" s="35"/>
      <c r="M117" s="35"/>
      <c r="N117" s="35"/>
      <c r="O117" s="35"/>
      <c r="P117" s="59"/>
      <c r="Q117" s="59">
        <f t="shared" si="22"/>
        <v>0</v>
      </c>
      <c r="R117" s="35"/>
      <c r="S117" s="35"/>
      <c r="T117" s="35"/>
      <c r="U117" s="35"/>
    </row>
    <row r="118" spans="1:21" ht="13.5" thickBot="1" x14ac:dyDescent="0.35">
      <c r="C118" s="76" t="s">
        <v>195</v>
      </c>
      <c r="D118" s="75"/>
      <c r="E118" s="75"/>
      <c r="F118" s="74"/>
      <c r="G118" s="74"/>
      <c r="H118" s="180"/>
      <c r="I118" s="180"/>
      <c r="J118" s="155"/>
      <c r="K118" s="155"/>
      <c r="L118" s="73"/>
      <c r="M118" s="73"/>
      <c r="N118" s="73"/>
      <c r="O118" s="120"/>
      <c r="P118" s="59"/>
      <c r="Q118" s="59">
        <f t="shared" ref="Q118:Q123" si="48">+J118-L118-M118-N118</f>
        <v>0</v>
      </c>
      <c r="R118" s="41"/>
      <c r="S118" s="40"/>
      <c r="T118" s="40"/>
      <c r="U118" s="39"/>
    </row>
    <row r="119" spans="1:21" ht="13.5" outlineLevel="1" thickBot="1" x14ac:dyDescent="0.35">
      <c r="C119" s="38"/>
      <c r="D119" s="42"/>
      <c r="E119" s="42"/>
      <c r="F119" s="78"/>
      <c r="G119" s="78"/>
      <c r="H119" s="42"/>
      <c r="I119" s="42"/>
      <c r="J119" s="160"/>
      <c r="K119" s="160"/>
      <c r="L119" s="42"/>
      <c r="M119" s="42"/>
      <c r="N119" s="42"/>
      <c r="O119" s="42"/>
      <c r="P119" s="59"/>
      <c r="Q119" s="59">
        <f t="shared" si="48"/>
        <v>0</v>
      </c>
      <c r="R119" s="42"/>
      <c r="S119" s="42"/>
      <c r="T119" s="42"/>
      <c r="U119" s="42"/>
    </row>
    <row r="120" spans="1:21" ht="13.5" outlineLevel="1" thickBot="1" x14ac:dyDescent="0.35">
      <c r="A120" s="96"/>
      <c r="B120" s="96"/>
      <c r="C120" s="23" t="s">
        <v>196</v>
      </c>
      <c r="D120" s="22"/>
      <c r="E120" s="22"/>
      <c r="F120" s="69"/>
      <c r="G120" s="69"/>
      <c r="H120" s="178"/>
      <c r="I120" s="178"/>
      <c r="J120" s="157"/>
      <c r="K120" s="157"/>
      <c r="L120" s="20"/>
      <c r="M120" s="20"/>
      <c r="N120" s="20"/>
      <c r="O120" s="19"/>
      <c r="P120" s="59"/>
      <c r="Q120" s="59">
        <f t="shared" si="48"/>
        <v>0</v>
      </c>
      <c r="R120" s="21"/>
      <c r="S120" s="20"/>
      <c r="T120" s="20"/>
      <c r="U120" s="19"/>
    </row>
    <row r="121" spans="1:21" outlineLevel="1" x14ac:dyDescent="0.3">
      <c r="A121" s="96"/>
      <c r="B121" s="96"/>
      <c r="C121" s="48"/>
      <c r="D121" s="42"/>
      <c r="E121" s="42"/>
      <c r="F121" s="78"/>
      <c r="G121" s="78"/>
      <c r="H121" s="42"/>
      <c r="I121" s="42"/>
      <c r="J121" s="160"/>
      <c r="K121" s="160"/>
      <c r="L121" s="42"/>
      <c r="M121" s="42"/>
      <c r="N121" s="42"/>
      <c r="O121" s="42"/>
      <c r="P121" s="59"/>
      <c r="Q121" s="59">
        <f t="shared" si="48"/>
        <v>0</v>
      </c>
      <c r="R121" s="42"/>
      <c r="S121" s="42"/>
      <c r="T121" s="42"/>
      <c r="U121" s="42"/>
    </row>
    <row r="122" spans="1:21" outlineLevel="1" x14ac:dyDescent="0.3">
      <c r="A122" s="96"/>
      <c r="B122" s="96"/>
      <c r="C122" s="36" t="s">
        <v>197</v>
      </c>
      <c r="D122" s="36"/>
      <c r="E122" s="36"/>
      <c r="F122" s="174"/>
      <c r="G122" s="36">
        <f>SUM(G123:G130)</f>
        <v>0</v>
      </c>
      <c r="H122" s="36">
        <f t="shared" ref="H122:I122" si="49">SUM(H123:H130)</f>
        <v>22200</v>
      </c>
      <c r="I122" s="36">
        <f t="shared" si="49"/>
        <v>0</v>
      </c>
      <c r="J122" s="158">
        <f>SUM(J123:J130)</f>
        <v>201700.82860880942</v>
      </c>
      <c r="K122" s="36">
        <f>SUM(K123:K130)</f>
        <v>0</v>
      </c>
      <c r="L122" s="36">
        <f>SUM(L123:L130)</f>
        <v>0</v>
      </c>
      <c r="M122" s="36">
        <f>SUM(M123:M130)</f>
        <v>201700.82860880942</v>
      </c>
      <c r="N122" s="36">
        <f>SUM(N123:N130)</f>
        <v>0</v>
      </c>
      <c r="O122" s="36"/>
      <c r="P122" s="59"/>
      <c r="Q122" s="59">
        <f t="shared" si="48"/>
        <v>0</v>
      </c>
      <c r="R122" s="47"/>
      <c r="S122" s="47"/>
      <c r="T122" s="47"/>
      <c r="U122" s="47"/>
    </row>
    <row r="123" spans="1:21" ht="15.5" outlineLevel="1" x14ac:dyDescent="0.35">
      <c r="A123" s="96" t="s">
        <v>173</v>
      </c>
      <c r="B123" s="96"/>
      <c r="C123" s="14" t="s">
        <v>198</v>
      </c>
      <c r="D123" s="196" t="s">
        <v>8</v>
      </c>
      <c r="E123" s="202">
        <v>1800</v>
      </c>
      <c r="F123" s="60">
        <v>2</v>
      </c>
      <c r="G123" s="66"/>
      <c r="H123" s="173">
        <f t="shared" ref="H123:H130" si="50">F123*E123</f>
        <v>3600</v>
      </c>
      <c r="I123" s="173"/>
      <c r="J123" s="139">
        <f t="shared" ref="J123:J130" si="51">H123/$J$6</f>
        <v>32708.242477104232</v>
      </c>
      <c r="K123" s="139"/>
      <c r="L123" s="12"/>
      <c r="M123" s="12">
        <f t="shared" ref="M123:M130" si="52">J123</f>
        <v>32708.242477104232</v>
      </c>
      <c r="N123" s="12"/>
      <c r="O123" s="12"/>
      <c r="P123" s="59"/>
      <c r="Q123" s="59">
        <f t="shared" si="48"/>
        <v>0</v>
      </c>
      <c r="R123" s="47"/>
      <c r="S123" s="47"/>
      <c r="T123" s="47"/>
      <c r="U123" s="47"/>
    </row>
    <row r="124" spans="1:21" ht="15.5" outlineLevel="1" x14ac:dyDescent="0.3">
      <c r="A124" s="96" t="s">
        <v>173</v>
      </c>
      <c r="B124" s="96"/>
      <c r="C124" s="14" t="s">
        <v>199</v>
      </c>
      <c r="D124" s="197" t="s">
        <v>8</v>
      </c>
      <c r="E124" s="202">
        <v>1500</v>
      </c>
      <c r="F124" s="60">
        <v>2</v>
      </c>
      <c r="G124" s="66"/>
      <c r="H124" s="173">
        <f t="shared" si="50"/>
        <v>3000</v>
      </c>
      <c r="I124" s="173"/>
      <c r="J124" s="139">
        <f t="shared" si="51"/>
        <v>27256.868730920192</v>
      </c>
      <c r="K124" s="139"/>
      <c r="L124" s="12"/>
      <c r="M124" s="12">
        <f t="shared" si="52"/>
        <v>27256.868730920192</v>
      </c>
      <c r="N124" s="12"/>
      <c r="O124" s="12"/>
      <c r="P124" s="59"/>
      <c r="Q124" s="59"/>
      <c r="R124" s="47"/>
      <c r="S124" s="47"/>
      <c r="T124" s="47"/>
      <c r="U124" s="47"/>
    </row>
    <row r="125" spans="1:21" ht="15.5" outlineLevel="1" x14ac:dyDescent="0.35">
      <c r="A125" s="96" t="s">
        <v>173</v>
      </c>
      <c r="B125" s="96"/>
      <c r="C125" s="14" t="s">
        <v>200</v>
      </c>
      <c r="D125" s="196" t="s">
        <v>9</v>
      </c>
      <c r="E125" s="202">
        <v>1000</v>
      </c>
      <c r="F125" s="60">
        <v>2</v>
      </c>
      <c r="G125" s="66"/>
      <c r="H125" s="173">
        <f t="shared" si="50"/>
        <v>2000</v>
      </c>
      <c r="I125" s="173"/>
      <c r="J125" s="139">
        <f t="shared" si="51"/>
        <v>18171.245820613462</v>
      </c>
      <c r="K125" s="139"/>
      <c r="L125" s="12"/>
      <c r="M125" s="12">
        <f t="shared" si="52"/>
        <v>18171.245820613462</v>
      </c>
      <c r="N125" s="12"/>
      <c r="O125" s="12"/>
      <c r="P125" s="59"/>
      <c r="Q125" s="59"/>
      <c r="R125" s="47"/>
      <c r="S125" s="47"/>
      <c r="T125" s="47"/>
      <c r="U125" s="47"/>
    </row>
    <row r="126" spans="1:21" ht="15.5" outlineLevel="1" x14ac:dyDescent="0.35">
      <c r="A126" s="96" t="s">
        <v>173</v>
      </c>
      <c r="B126" s="96"/>
      <c r="C126" s="14" t="s">
        <v>201</v>
      </c>
      <c r="D126" s="196" t="s">
        <v>8</v>
      </c>
      <c r="E126" s="202">
        <v>1800</v>
      </c>
      <c r="F126" s="60">
        <v>2</v>
      </c>
      <c r="G126" s="66"/>
      <c r="H126" s="173">
        <f t="shared" si="50"/>
        <v>3600</v>
      </c>
      <c r="I126" s="173"/>
      <c r="J126" s="139">
        <f t="shared" si="51"/>
        <v>32708.242477104232</v>
      </c>
      <c r="K126" s="139"/>
      <c r="L126" s="12"/>
      <c r="M126" s="12">
        <f t="shared" si="52"/>
        <v>32708.242477104232</v>
      </c>
      <c r="N126" s="12"/>
      <c r="O126" s="12"/>
      <c r="P126" s="59"/>
      <c r="Q126" s="59"/>
      <c r="R126" s="47"/>
      <c r="S126" s="47"/>
      <c r="T126" s="47"/>
      <c r="U126" s="47"/>
    </row>
    <row r="127" spans="1:21" ht="15.5" outlineLevel="1" x14ac:dyDescent="0.35">
      <c r="A127" s="96" t="s">
        <v>173</v>
      </c>
      <c r="B127" s="96"/>
      <c r="C127" s="14" t="s">
        <v>202</v>
      </c>
      <c r="D127" s="196" t="s">
        <v>9</v>
      </c>
      <c r="E127" s="202">
        <v>1000</v>
      </c>
      <c r="F127" s="60">
        <v>2</v>
      </c>
      <c r="G127" s="66"/>
      <c r="H127" s="173">
        <f t="shared" si="50"/>
        <v>2000</v>
      </c>
      <c r="I127" s="173"/>
      <c r="J127" s="139">
        <f t="shared" si="51"/>
        <v>18171.245820613462</v>
      </c>
      <c r="K127" s="139"/>
      <c r="L127" s="12"/>
      <c r="M127" s="12">
        <f t="shared" si="52"/>
        <v>18171.245820613462</v>
      </c>
      <c r="N127" s="12"/>
      <c r="O127" s="12"/>
      <c r="P127" s="59"/>
      <c r="Q127" s="59"/>
      <c r="R127" s="47"/>
      <c r="S127" s="47"/>
      <c r="T127" s="47"/>
      <c r="U127" s="47"/>
    </row>
    <row r="128" spans="1:21" ht="15.5" outlineLevel="1" x14ac:dyDescent="0.35">
      <c r="A128" s="96" t="s">
        <v>173</v>
      </c>
      <c r="B128" s="96"/>
      <c r="C128" s="14" t="s">
        <v>203</v>
      </c>
      <c r="D128" s="196" t="s">
        <v>9</v>
      </c>
      <c r="E128" s="202">
        <v>1000</v>
      </c>
      <c r="F128" s="60">
        <v>2</v>
      </c>
      <c r="G128" s="66"/>
      <c r="H128" s="173">
        <f t="shared" si="50"/>
        <v>2000</v>
      </c>
      <c r="I128" s="173"/>
      <c r="J128" s="139">
        <f t="shared" si="51"/>
        <v>18171.245820613462</v>
      </c>
      <c r="K128" s="139"/>
      <c r="L128" s="12"/>
      <c r="M128" s="12">
        <f t="shared" si="52"/>
        <v>18171.245820613462</v>
      </c>
      <c r="N128" s="12"/>
      <c r="O128" s="12"/>
      <c r="P128" s="59"/>
      <c r="Q128" s="59"/>
      <c r="R128" s="47"/>
      <c r="S128" s="47"/>
      <c r="T128" s="47"/>
      <c r="U128" s="47"/>
    </row>
    <row r="129" spans="1:21" ht="15.5" outlineLevel="1" x14ac:dyDescent="0.35">
      <c r="A129" s="96" t="s">
        <v>173</v>
      </c>
      <c r="B129" s="96"/>
      <c r="C129" s="14" t="s">
        <v>204</v>
      </c>
      <c r="D129" s="196" t="s">
        <v>8</v>
      </c>
      <c r="E129" s="202">
        <v>1500</v>
      </c>
      <c r="F129" s="60">
        <v>2</v>
      </c>
      <c r="G129" s="66"/>
      <c r="H129" s="173">
        <f t="shared" si="50"/>
        <v>3000</v>
      </c>
      <c r="I129" s="173"/>
      <c r="J129" s="139">
        <f t="shared" si="51"/>
        <v>27256.868730920192</v>
      </c>
      <c r="K129" s="139"/>
      <c r="L129" s="12"/>
      <c r="M129" s="12">
        <f t="shared" si="52"/>
        <v>27256.868730920192</v>
      </c>
      <c r="N129" s="12"/>
      <c r="O129" s="12"/>
      <c r="P129" s="59"/>
      <c r="Q129" s="59">
        <f t="shared" ref="Q129:Q145" si="53">+J129-L129-M129-N129</f>
        <v>0</v>
      </c>
      <c r="R129" s="47"/>
      <c r="S129" s="47"/>
      <c r="T129" s="47"/>
      <c r="U129" s="47"/>
    </row>
    <row r="130" spans="1:21" ht="15.5" outlineLevel="1" x14ac:dyDescent="0.35">
      <c r="A130" s="96" t="s">
        <v>173</v>
      </c>
      <c r="B130" s="96"/>
      <c r="C130" s="14" t="s">
        <v>205</v>
      </c>
      <c r="D130" s="196" t="s">
        <v>8</v>
      </c>
      <c r="E130" s="202">
        <v>1500</v>
      </c>
      <c r="F130" s="60">
        <v>2</v>
      </c>
      <c r="G130" s="66"/>
      <c r="H130" s="173">
        <f t="shared" si="50"/>
        <v>3000</v>
      </c>
      <c r="I130" s="173"/>
      <c r="J130" s="139">
        <f t="shared" si="51"/>
        <v>27256.868730920192</v>
      </c>
      <c r="K130" s="139"/>
      <c r="L130" s="12"/>
      <c r="M130" s="12">
        <f t="shared" si="52"/>
        <v>27256.868730920192</v>
      </c>
      <c r="N130" s="12"/>
      <c r="O130" s="12"/>
      <c r="P130" s="59"/>
      <c r="Q130" s="59">
        <f t="shared" si="53"/>
        <v>0</v>
      </c>
      <c r="R130" s="11"/>
      <c r="S130" s="11"/>
      <c r="T130" s="11"/>
      <c r="U130" s="11"/>
    </row>
    <row r="131" spans="1:21" ht="13.5" outlineLevel="1" thickBot="1" x14ac:dyDescent="0.35">
      <c r="A131" s="96"/>
      <c r="B131" s="96"/>
      <c r="C131" s="18"/>
      <c r="D131" s="10"/>
      <c r="E131" s="10"/>
      <c r="F131" s="68"/>
      <c r="G131" s="68"/>
      <c r="H131" s="10"/>
      <c r="I131" s="10"/>
      <c r="J131" s="159"/>
      <c r="K131" s="159"/>
      <c r="L131" s="10"/>
      <c r="M131" s="10"/>
      <c r="N131" s="10"/>
      <c r="O131" s="10"/>
      <c r="P131" s="59"/>
      <c r="Q131" s="59">
        <f t="shared" si="53"/>
        <v>0</v>
      </c>
      <c r="R131" s="10"/>
      <c r="S131" s="10"/>
      <c r="T131" s="10"/>
      <c r="U131" s="10"/>
    </row>
    <row r="132" spans="1:21" ht="13.5" thickBot="1" x14ac:dyDescent="0.35">
      <c r="A132" s="96"/>
      <c r="B132" s="96"/>
      <c r="C132" s="106" t="s">
        <v>206</v>
      </c>
      <c r="D132" s="106"/>
      <c r="E132" s="106"/>
      <c r="F132" s="119"/>
      <c r="G132" s="108">
        <f t="shared" ref="G132:N132" si="54">+G122</f>
        <v>0</v>
      </c>
      <c r="H132" s="108">
        <f t="shared" si="54"/>
        <v>22200</v>
      </c>
      <c r="I132" s="108">
        <f t="shared" si="54"/>
        <v>0</v>
      </c>
      <c r="J132" s="108">
        <f t="shared" si="54"/>
        <v>201700.82860880942</v>
      </c>
      <c r="K132" s="108">
        <f t="shared" si="54"/>
        <v>0</v>
      </c>
      <c r="L132" s="108">
        <f t="shared" si="54"/>
        <v>0</v>
      </c>
      <c r="M132" s="108">
        <f t="shared" si="54"/>
        <v>201700.82860880942</v>
      </c>
      <c r="N132" s="108">
        <f t="shared" si="54"/>
        <v>0</v>
      </c>
      <c r="O132" s="108"/>
      <c r="P132" s="59"/>
      <c r="Q132" s="59">
        <f t="shared" si="53"/>
        <v>0</v>
      </c>
      <c r="R132" s="5"/>
      <c r="S132" s="4"/>
      <c r="T132" s="4"/>
      <c r="U132" s="4"/>
    </row>
    <row r="133" spans="1:21" ht="13.5" thickBot="1" x14ac:dyDescent="0.35">
      <c r="A133" s="96"/>
      <c r="B133" s="96"/>
      <c r="C133" s="18"/>
      <c r="D133" s="10"/>
      <c r="E133" s="10"/>
      <c r="F133" s="68"/>
      <c r="G133" s="68"/>
      <c r="H133" s="10"/>
      <c r="I133" s="10"/>
      <c r="J133" s="159"/>
      <c r="K133" s="159"/>
      <c r="L133" s="10"/>
      <c r="M133" s="10"/>
      <c r="N133" s="10"/>
      <c r="O133" s="10"/>
      <c r="P133" s="59"/>
      <c r="Q133" s="59">
        <f t="shared" si="53"/>
        <v>0</v>
      </c>
      <c r="R133" s="10"/>
      <c r="S133" s="10"/>
      <c r="T133" s="10"/>
      <c r="U133" s="10"/>
    </row>
    <row r="134" spans="1:21" s="3" customFormat="1" ht="13.5" outlineLevel="1" thickBot="1" x14ac:dyDescent="0.35">
      <c r="A134" s="96"/>
      <c r="B134" s="96"/>
      <c r="C134" s="23" t="s">
        <v>207</v>
      </c>
      <c r="D134" s="22"/>
      <c r="E134" s="22"/>
      <c r="F134" s="69"/>
      <c r="G134" s="69"/>
      <c r="H134" s="178"/>
      <c r="I134" s="178"/>
      <c r="J134" s="157"/>
      <c r="K134" s="157"/>
      <c r="L134" s="20"/>
      <c r="M134" s="20"/>
      <c r="N134" s="20"/>
      <c r="O134" s="19"/>
      <c r="P134" s="59"/>
      <c r="Q134" s="59">
        <f t="shared" si="53"/>
        <v>0</v>
      </c>
      <c r="R134" s="21"/>
      <c r="S134" s="20"/>
      <c r="T134" s="20"/>
      <c r="U134" s="19"/>
    </row>
    <row r="135" spans="1:21" outlineLevel="1" x14ac:dyDescent="0.3">
      <c r="A135" s="96"/>
      <c r="B135" s="96"/>
      <c r="C135" s="18"/>
      <c r="D135" s="10"/>
      <c r="E135" s="10"/>
      <c r="F135" s="68"/>
      <c r="G135" s="68"/>
      <c r="H135" s="10"/>
      <c r="I135" s="10"/>
      <c r="J135" s="159"/>
      <c r="K135" s="159"/>
      <c r="L135" s="10"/>
      <c r="M135" s="10"/>
      <c r="N135" s="10"/>
      <c r="O135" s="10"/>
      <c r="P135" s="59"/>
      <c r="Q135" s="59">
        <f t="shared" si="53"/>
        <v>0</v>
      </c>
      <c r="R135" s="10"/>
      <c r="S135" s="10"/>
      <c r="T135" s="10"/>
      <c r="U135" s="10"/>
    </row>
    <row r="136" spans="1:21" outlineLevel="1" x14ac:dyDescent="0.3">
      <c r="A136" s="96"/>
      <c r="B136" s="96"/>
      <c r="C136" s="36" t="s">
        <v>208</v>
      </c>
      <c r="D136" s="36"/>
      <c r="E136" s="36"/>
      <c r="F136" s="174"/>
      <c r="G136" s="36">
        <f>SUM(G145:G146)</f>
        <v>0</v>
      </c>
      <c r="H136" s="36">
        <f>SUM(H137:H146)</f>
        <v>16875</v>
      </c>
      <c r="I136" s="36">
        <f>SUM(I145:I146)</f>
        <v>0</v>
      </c>
      <c r="J136" s="158">
        <f>SUM(J137:J146)</f>
        <v>153319.88661142607</v>
      </c>
      <c r="K136" s="158">
        <f>SUM(K137:K146)</f>
        <v>0</v>
      </c>
      <c r="L136" s="158">
        <f>SUM(L137:L146)</f>
        <v>0</v>
      </c>
      <c r="M136" s="158">
        <f>SUM(M137:M146)</f>
        <v>153319.88661142607</v>
      </c>
      <c r="N136" s="158">
        <f>SUM(N137:N146)</f>
        <v>0</v>
      </c>
      <c r="O136" s="36"/>
      <c r="P136" s="59"/>
      <c r="Q136" s="59">
        <f t="shared" si="53"/>
        <v>0</v>
      </c>
      <c r="R136" s="15"/>
      <c r="S136" s="15"/>
      <c r="T136" s="15"/>
      <c r="U136" s="15"/>
    </row>
    <row r="137" spans="1:21" outlineLevel="1" x14ac:dyDescent="0.3">
      <c r="A137" s="96" t="s">
        <v>173</v>
      </c>
      <c r="B137" s="96"/>
      <c r="C137" s="14" t="s">
        <v>209</v>
      </c>
      <c r="D137" s="15" t="s">
        <v>8</v>
      </c>
      <c r="E137" s="202">
        <v>2491</v>
      </c>
      <c r="F137" s="60">
        <v>1</v>
      </c>
      <c r="G137" s="66"/>
      <c r="H137" s="173">
        <f t="shared" ref="H137:H146" si="55">F137*E137</f>
        <v>2491</v>
      </c>
      <c r="I137" s="173"/>
      <c r="J137" s="139">
        <f t="shared" ref="J137:J146" si="56">H137/$J$6</f>
        <v>22632.286669574067</v>
      </c>
      <c r="K137" s="139"/>
      <c r="L137" s="12"/>
      <c r="M137" s="12">
        <f t="shared" ref="M137:M146" si="57">J137</f>
        <v>22632.286669574067</v>
      </c>
      <c r="N137" s="12"/>
      <c r="O137" s="12"/>
      <c r="P137" s="59"/>
      <c r="Q137" s="59"/>
      <c r="R137" s="15"/>
      <c r="S137" s="15"/>
      <c r="T137" s="15"/>
      <c r="U137" s="15"/>
    </row>
    <row r="138" spans="1:21" outlineLevel="1" x14ac:dyDescent="0.3">
      <c r="A138" s="96" t="s">
        <v>173</v>
      </c>
      <c r="B138" s="96"/>
      <c r="C138" s="14" t="s">
        <v>210</v>
      </c>
      <c r="D138" s="15" t="s">
        <v>8</v>
      </c>
      <c r="E138" s="202">
        <v>1200</v>
      </c>
      <c r="F138" s="60">
        <v>2</v>
      </c>
      <c r="G138" s="66"/>
      <c r="H138" s="173">
        <f t="shared" si="55"/>
        <v>2400</v>
      </c>
      <c r="I138" s="173"/>
      <c r="J138" s="139">
        <f t="shared" si="56"/>
        <v>21805.494984736153</v>
      </c>
      <c r="K138" s="139"/>
      <c r="L138" s="12"/>
      <c r="M138" s="12">
        <f t="shared" si="57"/>
        <v>21805.494984736153</v>
      </c>
      <c r="N138" s="12"/>
      <c r="O138" s="12"/>
      <c r="P138" s="59"/>
      <c r="Q138" s="59"/>
      <c r="R138" s="15"/>
      <c r="S138" s="15"/>
      <c r="T138" s="15"/>
      <c r="U138" s="15"/>
    </row>
    <row r="139" spans="1:21" outlineLevel="1" x14ac:dyDescent="0.3">
      <c r="A139" s="96" t="s">
        <v>173</v>
      </c>
      <c r="B139" s="96"/>
      <c r="C139" s="14" t="s">
        <v>211</v>
      </c>
      <c r="D139" s="15" t="s">
        <v>9</v>
      </c>
      <c r="E139" s="202">
        <v>50</v>
      </c>
      <c r="F139" s="60">
        <v>40</v>
      </c>
      <c r="G139" s="66"/>
      <c r="H139" s="173">
        <f t="shared" si="55"/>
        <v>2000</v>
      </c>
      <c r="I139" s="173"/>
      <c r="J139" s="139">
        <f t="shared" si="56"/>
        <v>18171.245820613462</v>
      </c>
      <c r="K139" s="139"/>
      <c r="L139" s="12"/>
      <c r="M139" s="12">
        <f t="shared" si="57"/>
        <v>18171.245820613462</v>
      </c>
      <c r="N139" s="12"/>
      <c r="O139" s="12"/>
      <c r="P139" s="59"/>
      <c r="Q139" s="59"/>
      <c r="R139" s="15"/>
      <c r="S139" s="15"/>
      <c r="T139" s="15"/>
      <c r="U139" s="15"/>
    </row>
    <row r="140" spans="1:21" outlineLevel="1" x14ac:dyDescent="0.3">
      <c r="A140" s="96" t="s">
        <v>173</v>
      </c>
      <c r="B140" s="96"/>
      <c r="C140" s="14" t="s">
        <v>212</v>
      </c>
      <c r="D140" s="15" t="s">
        <v>9</v>
      </c>
      <c r="E140" s="202">
        <v>180</v>
      </c>
      <c r="F140" s="60">
        <v>12</v>
      </c>
      <c r="G140" s="66"/>
      <c r="H140" s="173">
        <f t="shared" si="55"/>
        <v>2160</v>
      </c>
      <c r="I140" s="173"/>
      <c r="J140" s="139">
        <f t="shared" si="56"/>
        <v>19624.945486262539</v>
      </c>
      <c r="K140" s="139"/>
      <c r="L140" s="12"/>
      <c r="M140" s="12">
        <f t="shared" si="57"/>
        <v>19624.945486262539</v>
      </c>
      <c r="N140" s="12"/>
      <c r="O140" s="12"/>
      <c r="P140" s="59"/>
      <c r="Q140" s="59"/>
      <c r="R140" s="15"/>
      <c r="S140" s="15"/>
      <c r="T140" s="15"/>
      <c r="U140" s="15"/>
    </row>
    <row r="141" spans="1:21" outlineLevel="1" x14ac:dyDescent="0.3">
      <c r="A141" s="96" t="s">
        <v>173</v>
      </c>
      <c r="B141" s="96"/>
      <c r="C141" s="14" t="s">
        <v>213</v>
      </c>
      <c r="D141" s="15" t="s">
        <v>8</v>
      </c>
      <c r="E141" s="202">
        <v>1424</v>
      </c>
      <c r="F141" s="60">
        <v>1</v>
      </c>
      <c r="G141" s="66"/>
      <c r="H141" s="173">
        <f t="shared" si="55"/>
        <v>1424</v>
      </c>
      <c r="I141" s="173"/>
      <c r="J141" s="139">
        <f t="shared" si="56"/>
        <v>12937.927024276785</v>
      </c>
      <c r="K141" s="139"/>
      <c r="L141" s="12"/>
      <c r="M141" s="12">
        <f t="shared" si="57"/>
        <v>12937.927024276785</v>
      </c>
      <c r="N141" s="12"/>
      <c r="O141" s="12"/>
      <c r="P141" s="59"/>
      <c r="Q141" s="59"/>
      <c r="R141" s="15"/>
      <c r="S141" s="15"/>
      <c r="T141" s="15"/>
      <c r="U141" s="15"/>
    </row>
    <row r="142" spans="1:21" outlineLevel="1" x14ac:dyDescent="0.3">
      <c r="A142" s="96" t="s">
        <v>173</v>
      </c>
      <c r="B142" s="96"/>
      <c r="C142" s="14" t="s">
        <v>214</v>
      </c>
      <c r="D142" s="15" t="s">
        <v>9</v>
      </c>
      <c r="E142" s="202">
        <v>1300</v>
      </c>
      <c r="F142" s="60">
        <v>2</v>
      </c>
      <c r="G142" s="66"/>
      <c r="H142" s="173">
        <f t="shared" si="55"/>
        <v>2600</v>
      </c>
      <c r="I142" s="173"/>
      <c r="J142" s="139">
        <f t="shared" si="56"/>
        <v>23622.619566797501</v>
      </c>
      <c r="K142" s="139"/>
      <c r="L142" s="12"/>
      <c r="M142" s="12">
        <f t="shared" si="57"/>
        <v>23622.619566797501</v>
      </c>
      <c r="N142" s="12"/>
      <c r="O142" s="12"/>
      <c r="P142" s="59"/>
      <c r="Q142" s="59"/>
      <c r="R142" s="15"/>
      <c r="S142" s="15"/>
      <c r="T142" s="15"/>
      <c r="U142" s="15"/>
    </row>
    <row r="143" spans="1:21" outlineLevel="1" x14ac:dyDescent="0.3">
      <c r="A143" s="96" t="s">
        <v>173</v>
      </c>
      <c r="B143" s="96"/>
      <c r="C143" s="14" t="s">
        <v>215</v>
      </c>
      <c r="D143" s="15" t="s">
        <v>8</v>
      </c>
      <c r="E143" s="202">
        <v>300</v>
      </c>
      <c r="F143" s="60">
        <v>2</v>
      </c>
      <c r="G143" s="66"/>
      <c r="H143" s="173">
        <f t="shared" si="55"/>
        <v>600</v>
      </c>
      <c r="I143" s="173"/>
      <c r="J143" s="139">
        <f t="shared" si="56"/>
        <v>5451.3737461840383</v>
      </c>
      <c r="K143" s="139"/>
      <c r="L143" s="12"/>
      <c r="M143" s="12">
        <f t="shared" si="57"/>
        <v>5451.3737461840383</v>
      </c>
      <c r="N143" s="12"/>
      <c r="O143" s="12"/>
      <c r="P143" s="59"/>
      <c r="Q143" s="59"/>
      <c r="R143" s="15"/>
      <c r="S143" s="15"/>
      <c r="T143" s="15"/>
      <c r="U143" s="15"/>
    </row>
    <row r="144" spans="1:21" outlineLevel="1" x14ac:dyDescent="0.3">
      <c r="A144" s="96" t="s">
        <v>173</v>
      </c>
      <c r="B144" s="96"/>
      <c r="C144" s="14" t="s">
        <v>216</v>
      </c>
      <c r="D144" s="15" t="s">
        <v>9</v>
      </c>
      <c r="E144" s="202">
        <v>300</v>
      </c>
      <c r="F144" s="60">
        <v>2</v>
      </c>
      <c r="G144" s="66"/>
      <c r="H144" s="173">
        <f t="shared" si="55"/>
        <v>600</v>
      </c>
      <c r="I144" s="173"/>
      <c r="J144" s="139">
        <f t="shared" si="56"/>
        <v>5451.3737461840383</v>
      </c>
      <c r="K144" s="139"/>
      <c r="L144" s="12"/>
      <c r="M144" s="12">
        <f t="shared" si="57"/>
        <v>5451.3737461840383</v>
      </c>
      <c r="N144" s="12"/>
      <c r="O144" s="12"/>
      <c r="P144" s="59"/>
      <c r="Q144" s="59"/>
      <c r="R144" s="15"/>
      <c r="S144" s="15"/>
      <c r="T144" s="15"/>
      <c r="U144" s="15"/>
    </row>
    <row r="145" spans="1:21" outlineLevel="1" x14ac:dyDescent="0.3">
      <c r="A145" s="96" t="s">
        <v>173</v>
      </c>
      <c r="B145" s="96"/>
      <c r="C145" s="14" t="s">
        <v>217</v>
      </c>
      <c r="D145" s="15" t="s">
        <v>9</v>
      </c>
      <c r="E145" s="202">
        <v>300</v>
      </c>
      <c r="F145" s="60">
        <v>2</v>
      </c>
      <c r="G145" s="66"/>
      <c r="H145" s="173">
        <f t="shared" si="55"/>
        <v>600</v>
      </c>
      <c r="I145" s="173"/>
      <c r="J145" s="139">
        <f t="shared" si="56"/>
        <v>5451.3737461840383</v>
      </c>
      <c r="K145" s="139"/>
      <c r="L145" s="12"/>
      <c r="M145" s="12">
        <f t="shared" si="57"/>
        <v>5451.3737461840383</v>
      </c>
      <c r="N145" s="12"/>
      <c r="O145" s="12"/>
      <c r="P145" s="59"/>
      <c r="Q145" s="59">
        <f t="shared" si="53"/>
        <v>0</v>
      </c>
      <c r="R145" s="15"/>
      <c r="S145" s="15"/>
      <c r="T145" s="15"/>
      <c r="U145" s="15"/>
    </row>
    <row r="146" spans="1:21" outlineLevel="1" x14ac:dyDescent="0.3">
      <c r="A146" s="96" t="s">
        <v>173</v>
      </c>
      <c r="B146" s="96"/>
      <c r="C146" s="14" t="s">
        <v>218</v>
      </c>
      <c r="D146" s="34" t="s">
        <v>9</v>
      </c>
      <c r="E146" s="202">
        <v>1000</v>
      </c>
      <c r="F146" s="60">
        <v>2</v>
      </c>
      <c r="G146" s="66"/>
      <c r="H146" s="173">
        <f t="shared" si="55"/>
        <v>2000</v>
      </c>
      <c r="I146" s="173"/>
      <c r="J146" s="139">
        <f t="shared" si="56"/>
        <v>18171.245820613462</v>
      </c>
      <c r="K146" s="139"/>
      <c r="L146" s="12"/>
      <c r="M146" s="12">
        <f t="shared" si="57"/>
        <v>18171.245820613462</v>
      </c>
      <c r="N146" s="12"/>
      <c r="O146" s="12"/>
      <c r="P146" s="59"/>
      <c r="Q146" s="59"/>
      <c r="R146" s="15"/>
      <c r="S146" s="15"/>
      <c r="T146" s="15"/>
      <c r="U146" s="15"/>
    </row>
    <row r="147" spans="1:21" ht="13.5" outlineLevel="1" thickBot="1" x14ac:dyDescent="0.35">
      <c r="A147" s="96"/>
      <c r="B147" s="96"/>
      <c r="C147" s="18"/>
      <c r="D147" s="10"/>
      <c r="E147" s="10"/>
      <c r="F147" s="68"/>
      <c r="G147" s="68"/>
      <c r="H147" s="10"/>
      <c r="I147" s="10"/>
      <c r="J147" s="159"/>
      <c r="K147" s="159"/>
      <c r="L147" s="10"/>
      <c r="M147" s="10"/>
      <c r="N147" s="10"/>
      <c r="O147" s="10"/>
      <c r="P147" s="59"/>
      <c r="Q147" s="59">
        <f t="shared" ref="Q147:Q148" si="58">+J147-L147-M147-N147</f>
        <v>0</v>
      </c>
      <c r="R147" s="10"/>
      <c r="S147" s="10"/>
      <c r="T147" s="10"/>
      <c r="U147" s="10"/>
    </row>
    <row r="148" spans="1:21" s="3" customFormat="1" ht="13.5" thickBot="1" x14ac:dyDescent="0.35">
      <c r="A148" s="96"/>
      <c r="B148" s="96"/>
      <c r="C148" s="106" t="s">
        <v>219</v>
      </c>
      <c r="D148" s="108"/>
      <c r="E148" s="108"/>
      <c r="F148" s="170"/>
      <c r="G148" s="108">
        <f t="shared" ref="G148:N148" si="59">+G136</f>
        <v>0</v>
      </c>
      <c r="H148" s="108">
        <f t="shared" si="59"/>
        <v>16875</v>
      </c>
      <c r="I148" s="108">
        <f t="shared" si="59"/>
        <v>0</v>
      </c>
      <c r="J148" s="108">
        <f t="shared" si="59"/>
        <v>153319.88661142607</v>
      </c>
      <c r="K148" s="108">
        <f t="shared" si="59"/>
        <v>0</v>
      </c>
      <c r="L148" s="108">
        <f t="shared" si="59"/>
        <v>0</v>
      </c>
      <c r="M148" s="108">
        <f t="shared" si="59"/>
        <v>153319.88661142607</v>
      </c>
      <c r="N148" s="108">
        <f t="shared" si="59"/>
        <v>0</v>
      </c>
      <c r="O148" s="108"/>
      <c r="P148" s="59"/>
      <c r="Q148" s="59">
        <f t="shared" si="58"/>
        <v>0</v>
      </c>
      <c r="R148" s="5"/>
      <c r="S148" s="4"/>
      <c r="T148" s="4"/>
      <c r="U148" s="4"/>
    </row>
    <row r="149" spans="1:21" ht="13.5" thickBot="1" x14ac:dyDescent="0.35">
      <c r="A149" s="96"/>
      <c r="B149" s="96"/>
      <c r="C149" s="18"/>
      <c r="D149" s="10"/>
      <c r="E149" s="10"/>
      <c r="F149" s="68"/>
      <c r="G149" s="68"/>
      <c r="H149" s="10"/>
      <c r="I149" s="10"/>
      <c r="J149" s="159"/>
      <c r="K149" s="159"/>
      <c r="L149" s="10"/>
      <c r="M149" s="10"/>
      <c r="N149" s="10"/>
      <c r="O149" s="10"/>
      <c r="P149" s="59"/>
      <c r="Q149" s="59"/>
      <c r="R149" s="10"/>
      <c r="S149" s="10"/>
      <c r="T149" s="10"/>
      <c r="U149" s="10"/>
    </row>
    <row r="150" spans="1:21" ht="13.5" thickBot="1" x14ac:dyDescent="0.35">
      <c r="A150" s="96"/>
      <c r="B150" s="96"/>
      <c r="C150" s="110" t="s">
        <v>220</v>
      </c>
      <c r="D150" s="118"/>
      <c r="E150" s="118"/>
      <c r="F150" s="204"/>
      <c r="G150" s="112">
        <f t="shared" ref="G150:N150" si="60">+G148+G132</f>
        <v>0</v>
      </c>
      <c r="H150" s="112">
        <f t="shared" si="60"/>
        <v>39075</v>
      </c>
      <c r="I150" s="112">
        <f t="shared" si="60"/>
        <v>0</v>
      </c>
      <c r="J150" s="112">
        <f t="shared" si="60"/>
        <v>355020.71522023552</v>
      </c>
      <c r="K150" s="112">
        <f t="shared" si="60"/>
        <v>0</v>
      </c>
      <c r="L150" s="112">
        <f t="shared" si="60"/>
        <v>0</v>
      </c>
      <c r="M150" s="112">
        <f t="shared" si="60"/>
        <v>355020.71522023552</v>
      </c>
      <c r="N150" s="112">
        <f t="shared" si="60"/>
        <v>0</v>
      </c>
      <c r="O150" s="112"/>
      <c r="P150" s="59"/>
      <c r="Q150" s="59">
        <f t="shared" ref="Q150" si="61">+J150-L150-M150-N150</f>
        <v>0</v>
      </c>
      <c r="R150" s="9"/>
      <c r="S150" s="8"/>
      <c r="T150" s="8"/>
      <c r="U150" s="8"/>
    </row>
    <row r="151" spans="1:21" x14ac:dyDescent="0.3">
      <c r="A151" s="96"/>
      <c r="B151" s="96"/>
      <c r="C151" s="18"/>
      <c r="D151" s="10"/>
      <c r="E151" s="10"/>
      <c r="F151" s="68"/>
      <c r="G151" s="68"/>
      <c r="H151" s="10"/>
      <c r="I151" s="10"/>
      <c r="J151" s="159"/>
      <c r="K151" s="159"/>
      <c r="L151" s="10"/>
      <c r="M151" s="10"/>
      <c r="N151" s="10"/>
      <c r="O151" s="10"/>
      <c r="P151" s="59"/>
      <c r="Q151" s="59"/>
      <c r="R151" s="10"/>
      <c r="S151" s="10"/>
      <c r="T151" s="10"/>
      <c r="U151" s="10"/>
    </row>
    <row r="152" spans="1:21" ht="13.5" thickBot="1" x14ac:dyDescent="0.35">
      <c r="A152" s="96"/>
      <c r="B152" s="96"/>
      <c r="C152" s="7"/>
      <c r="D152" s="35"/>
      <c r="E152" s="35"/>
      <c r="F152" s="72"/>
      <c r="G152" s="72"/>
      <c r="H152" s="35"/>
      <c r="I152" s="35"/>
      <c r="J152" s="160"/>
      <c r="K152" s="160"/>
      <c r="L152" s="35"/>
      <c r="M152" s="35"/>
      <c r="N152" s="35"/>
      <c r="O152" s="35"/>
      <c r="P152" s="59"/>
      <c r="Q152" s="59">
        <f t="shared" si="22"/>
        <v>0</v>
      </c>
      <c r="R152" s="35"/>
      <c r="S152" s="35"/>
      <c r="T152" s="35"/>
      <c r="U152" s="35"/>
    </row>
    <row r="153" spans="1:21" ht="13.5" thickBot="1" x14ac:dyDescent="0.35">
      <c r="A153" s="96"/>
      <c r="B153" s="96"/>
      <c r="C153" s="76" t="s">
        <v>55</v>
      </c>
      <c r="D153" s="75"/>
      <c r="E153" s="75"/>
      <c r="F153" s="74"/>
      <c r="G153" s="74"/>
      <c r="H153" s="180"/>
      <c r="I153" s="180"/>
      <c r="J153" s="155"/>
      <c r="K153" s="155"/>
      <c r="L153" s="73"/>
      <c r="M153" s="73"/>
      <c r="N153" s="73"/>
      <c r="O153" s="120"/>
      <c r="P153" s="59"/>
      <c r="Q153" s="59">
        <f t="shared" si="22"/>
        <v>0</v>
      </c>
      <c r="R153" s="41"/>
      <c r="S153" s="40"/>
      <c r="T153" s="40"/>
      <c r="U153" s="39"/>
    </row>
    <row r="154" spans="1:21" x14ac:dyDescent="0.3">
      <c r="A154" s="96"/>
      <c r="B154" s="96"/>
      <c r="C154" s="38"/>
      <c r="D154" s="35"/>
      <c r="E154" s="35"/>
      <c r="F154" s="72"/>
      <c r="G154" s="72"/>
      <c r="H154" s="35"/>
      <c r="I154" s="35"/>
      <c r="J154" s="160"/>
      <c r="K154" s="160"/>
      <c r="L154" s="35"/>
      <c r="M154" s="35"/>
      <c r="N154" s="35"/>
      <c r="O154" s="35"/>
      <c r="P154" s="59"/>
      <c r="Q154" s="59">
        <f t="shared" si="22"/>
        <v>0</v>
      </c>
      <c r="R154" s="35"/>
      <c r="S154" s="35"/>
      <c r="T154" s="35"/>
      <c r="U154" s="35"/>
    </row>
    <row r="155" spans="1:21" s="26" customFormat="1" x14ac:dyDescent="0.3">
      <c r="A155" s="96"/>
      <c r="B155" s="96"/>
      <c r="C155" s="36" t="s">
        <v>221</v>
      </c>
      <c r="D155" s="36"/>
      <c r="E155" s="36"/>
      <c r="F155" s="174"/>
      <c r="G155" s="16">
        <f t="shared" ref="G155:N155" si="62">SUM(G156:G168)</f>
        <v>0</v>
      </c>
      <c r="H155" s="16">
        <f t="shared" si="62"/>
        <v>190303.26</v>
      </c>
      <c r="I155" s="16">
        <f t="shared" si="62"/>
        <v>0</v>
      </c>
      <c r="J155" s="148">
        <f t="shared" si="62"/>
        <v>1729023.6589620586</v>
      </c>
      <c r="K155" s="148">
        <f t="shared" si="62"/>
        <v>0</v>
      </c>
      <c r="L155" s="16">
        <f t="shared" si="62"/>
        <v>0</v>
      </c>
      <c r="M155" s="16">
        <f t="shared" si="62"/>
        <v>1729023.6589620586</v>
      </c>
      <c r="N155" s="16">
        <f t="shared" si="62"/>
        <v>0</v>
      </c>
      <c r="O155" s="16"/>
      <c r="P155" s="59"/>
      <c r="Q155" s="59">
        <f t="shared" si="22"/>
        <v>0</v>
      </c>
      <c r="R155" s="15"/>
      <c r="S155" s="15"/>
      <c r="T155" s="15"/>
      <c r="U155" s="15"/>
    </row>
    <row r="156" spans="1:21" s="26" customFormat="1" outlineLevel="1" x14ac:dyDescent="0.3">
      <c r="A156" s="96" t="s">
        <v>173</v>
      </c>
      <c r="B156" s="96"/>
      <c r="C156" s="46" t="s">
        <v>56</v>
      </c>
      <c r="D156" s="15" t="s">
        <v>57</v>
      </c>
      <c r="E156" s="202">
        <f>2424.6*0.25</f>
        <v>606.15</v>
      </c>
      <c r="F156" s="60">
        <v>12</v>
      </c>
      <c r="G156" s="66"/>
      <c r="H156" s="11">
        <f>+E156*F156</f>
        <v>7273.7999999999993</v>
      </c>
      <c r="I156" s="173"/>
      <c r="J156" s="139">
        <f>+H156/$J$6</f>
        <v>66087.003924989098</v>
      </c>
      <c r="K156" s="139"/>
      <c r="L156" s="12"/>
      <c r="M156" s="12">
        <f t="shared" ref="M156:M161" si="63">J156</f>
        <v>66087.003924989098</v>
      </c>
      <c r="N156" s="12"/>
      <c r="O156" s="12" t="s">
        <v>222</v>
      </c>
      <c r="P156" s="59"/>
      <c r="Q156" s="59"/>
      <c r="R156" s="45"/>
      <c r="S156" s="45"/>
      <c r="T156" s="45"/>
      <c r="U156" s="45"/>
    </row>
    <row r="157" spans="1:21" s="26" customFormat="1" outlineLevel="1" x14ac:dyDescent="0.3">
      <c r="A157" s="96" t="s">
        <v>173</v>
      </c>
      <c r="B157" s="96"/>
      <c r="C157" s="46" t="s">
        <v>58</v>
      </c>
      <c r="D157" s="15" t="s">
        <v>57</v>
      </c>
      <c r="E157" s="202">
        <f>2424.6*0.25</f>
        <v>606.15</v>
      </c>
      <c r="F157" s="60">
        <v>12</v>
      </c>
      <c r="G157" s="66"/>
      <c r="H157" s="11">
        <f t="shared" ref="H157:H168" si="64">+E157*F157</f>
        <v>7273.7999999999993</v>
      </c>
      <c r="I157" s="173"/>
      <c r="J157" s="139">
        <f t="shared" ref="J157:J168" si="65">+H157/$J$6</f>
        <v>66087.003924989098</v>
      </c>
      <c r="K157" s="139"/>
      <c r="L157" s="12"/>
      <c r="M157" s="12">
        <f t="shared" si="63"/>
        <v>66087.003924989098</v>
      </c>
      <c r="N157" s="12"/>
      <c r="O157" s="12" t="s">
        <v>222</v>
      </c>
      <c r="P157" s="59"/>
      <c r="Q157" s="59"/>
      <c r="R157" s="45"/>
      <c r="S157" s="45"/>
      <c r="T157" s="45"/>
      <c r="U157" s="45"/>
    </row>
    <row r="158" spans="1:21" s="26" customFormat="1" outlineLevel="1" x14ac:dyDescent="0.3">
      <c r="A158" s="96" t="s">
        <v>173</v>
      </c>
      <c r="B158" s="96"/>
      <c r="C158" s="46" t="s">
        <v>59</v>
      </c>
      <c r="D158" s="15" t="s">
        <v>57</v>
      </c>
      <c r="E158" s="202">
        <f>2424.6*0.25</f>
        <v>606.15</v>
      </c>
      <c r="F158" s="60">
        <v>12</v>
      </c>
      <c r="G158" s="66"/>
      <c r="H158" s="11">
        <f t="shared" si="64"/>
        <v>7273.7999999999993</v>
      </c>
      <c r="I158" s="173"/>
      <c r="J158" s="139">
        <f t="shared" si="65"/>
        <v>66087.003924989098</v>
      </c>
      <c r="K158" s="139"/>
      <c r="L158" s="12"/>
      <c r="M158" s="12">
        <f t="shared" si="63"/>
        <v>66087.003924989098</v>
      </c>
      <c r="N158" s="12"/>
      <c r="O158" s="12" t="s">
        <v>222</v>
      </c>
      <c r="P158" s="59"/>
      <c r="Q158" s="59"/>
      <c r="R158" s="45"/>
      <c r="S158" s="45"/>
      <c r="T158" s="45"/>
      <c r="U158" s="45"/>
    </row>
    <row r="159" spans="1:21" s="26" customFormat="1" outlineLevel="1" x14ac:dyDescent="0.3">
      <c r="A159" s="96" t="s">
        <v>173</v>
      </c>
      <c r="B159" s="96"/>
      <c r="C159" s="46" t="s">
        <v>60</v>
      </c>
      <c r="D159" s="15" t="s">
        <v>61</v>
      </c>
      <c r="E159" s="202">
        <f>(2831.7*0.25)+(2424.6*0.25)</f>
        <v>1314.0749999999998</v>
      </c>
      <c r="F159" s="60">
        <v>12</v>
      </c>
      <c r="G159" s="66"/>
      <c r="H159" s="11">
        <f t="shared" si="64"/>
        <v>15768.899999999998</v>
      </c>
      <c r="I159" s="173"/>
      <c r="J159" s="139">
        <f t="shared" si="65"/>
        <v>143270.2791103358</v>
      </c>
      <c r="K159" s="139"/>
      <c r="L159" s="12"/>
      <c r="M159" s="12">
        <f t="shared" si="63"/>
        <v>143270.2791103358</v>
      </c>
      <c r="N159" s="12"/>
      <c r="O159" s="12" t="s">
        <v>222</v>
      </c>
      <c r="P159" s="59"/>
      <c r="Q159" s="59"/>
      <c r="R159" s="45"/>
      <c r="S159" s="45"/>
      <c r="T159" s="45"/>
      <c r="U159" s="45"/>
    </row>
    <row r="160" spans="1:21" s="26" customFormat="1" outlineLevel="1" x14ac:dyDescent="0.3">
      <c r="A160" s="96" t="s">
        <v>173</v>
      </c>
      <c r="B160" s="96"/>
      <c r="C160" s="46" t="s">
        <v>62</v>
      </c>
      <c r="D160" s="15" t="s">
        <v>63</v>
      </c>
      <c r="E160" s="202">
        <f>1283*1.25</f>
        <v>1603.75</v>
      </c>
      <c r="F160" s="60">
        <v>12</v>
      </c>
      <c r="G160" s="66"/>
      <c r="H160" s="11">
        <f t="shared" si="64"/>
        <v>19245</v>
      </c>
      <c r="I160" s="173"/>
      <c r="J160" s="139">
        <f t="shared" si="65"/>
        <v>174852.81290885303</v>
      </c>
      <c r="K160" s="139"/>
      <c r="L160" s="12"/>
      <c r="M160" s="12">
        <f t="shared" si="63"/>
        <v>174852.81290885303</v>
      </c>
      <c r="N160" s="12"/>
      <c r="O160" s="12"/>
      <c r="P160" s="59"/>
      <c r="Q160" s="59"/>
      <c r="R160" s="45"/>
      <c r="S160" s="45"/>
      <c r="T160" s="45"/>
      <c r="U160" s="45"/>
    </row>
    <row r="161" spans="1:21" s="26" customFormat="1" outlineLevel="1" x14ac:dyDescent="0.3">
      <c r="A161" s="96" t="s">
        <v>173</v>
      </c>
      <c r="B161" s="96"/>
      <c r="C161" s="46" t="s">
        <v>64</v>
      </c>
      <c r="D161" s="15" t="s">
        <v>65</v>
      </c>
      <c r="E161" s="202">
        <v>2424.5500000000002</v>
      </c>
      <c r="F161" s="60">
        <v>12</v>
      </c>
      <c r="G161" s="66"/>
      <c r="H161" s="11">
        <f t="shared" si="64"/>
        <v>29094.600000000002</v>
      </c>
      <c r="I161" s="173"/>
      <c r="J161" s="139">
        <f t="shared" si="65"/>
        <v>264342.56432621024</v>
      </c>
      <c r="K161" s="139"/>
      <c r="L161" s="12"/>
      <c r="M161" s="12">
        <f t="shared" si="63"/>
        <v>264342.56432621024</v>
      </c>
      <c r="N161" s="12"/>
      <c r="O161" s="12" t="s">
        <v>222</v>
      </c>
      <c r="P161" s="59"/>
      <c r="Q161" s="59"/>
      <c r="R161" s="45"/>
      <c r="S161" s="45"/>
      <c r="T161" s="45"/>
      <c r="U161" s="45"/>
    </row>
    <row r="162" spans="1:21" s="26" customFormat="1" outlineLevel="1" x14ac:dyDescent="0.3">
      <c r="A162" s="96" t="s">
        <v>173</v>
      </c>
      <c r="B162" s="96"/>
      <c r="C162" s="46" t="s">
        <v>66</v>
      </c>
      <c r="D162" s="15" t="s">
        <v>65</v>
      </c>
      <c r="E162" s="202">
        <v>1729.16</v>
      </c>
      <c r="F162" s="60">
        <v>12</v>
      </c>
      <c r="G162" s="66"/>
      <c r="H162" s="11">
        <f t="shared" si="64"/>
        <v>20749.920000000002</v>
      </c>
      <c r="I162" s="173"/>
      <c r="J162" s="139">
        <f t="shared" si="65"/>
        <v>188525.94853903187</v>
      </c>
      <c r="K162" s="139"/>
      <c r="L162" s="12"/>
      <c r="M162" s="12">
        <f t="shared" ref="M162:M168" si="66">J162</f>
        <v>188525.94853903187</v>
      </c>
      <c r="N162" s="12"/>
      <c r="O162" s="12" t="s">
        <v>222</v>
      </c>
      <c r="P162" s="59"/>
      <c r="Q162" s="59"/>
      <c r="R162" s="45"/>
      <c r="S162" s="45"/>
      <c r="T162" s="45"/>
      <c r="U162" s="45"/>
    </row>
    <row r="163" spans="1:21" s="26" customFormat="1" outlineLevel="1" x14ac:dyDescent="0.3">
      <c r="A163" s="96" t="s">
        <v>173</v>
      </c>
      <c r="B163" s="96"/>
      <c r="C163" s="46" t="s">
        <v>67</v>
      </c>
      <c r="D163" s="15" t="s">
        <v>65</v>
      </c>
      <c r="E163" s="202">
        <v>1729.16</v>
      </c>
      <c r="F163" s="60">
        <v>12</v>
      </c>
      <c r="G163" s="66"/>
      <c r="H163" s="11">
        <f t="shared" si="64"/>
        <v>20749.920000000002</v>
      </c>
      <c r="I163" s="173"/>
      <c r="J163" s="139">
        <f t="shared" si="65"/>
        <v>188525.94853903187</v>
      </c>
      <c r="K163" s="139"/>
      <c r="L163" s="12"/>
      <c r="M163" s="12">
        <f t="shared" si="66"/>
        <v>188525.94853903187</v>
      </c>
      <c r="N163" s="12"/>
      <c r="O163" s="12" t="s">
        <v>222</v>
      </c>
      <c r="P163" s="59"/>
      <c r="Q163" s="59"/>
      <c r="R163" s="45"/>
      <c r="S163" s="45"/>
      <c r="T163" s="45"/>
      <c r="U163" s="45"/>
    </row>
    <row r="164" spans="1:21" s="26" customFormat="1" outlineLevel="1" x14ac:dyDescent="0.3">
      <c r="A164" s="96" t="s">
        <v>173</v>
      </c>
      <c r="B164" s="96"/>
      <c r="C164" s="46" t="s">
        <v>68</v>
      </c>
      <c r="D164" s="15" t="s">
        <v>65</v>
      </c>
      <c r="E164" s="202">
        <v>1729.16</v>
      </c>
      <c r="F164" s="60">
        <v>12</v>
      </c>
      <c r="G164" s="66"/>
      <c r="H164" s="11">
        <f t="shared" si="64"/>
        <v>20749.920000000002</v>
      </c>
      <c r="I164" s="173"/>
      <c r="J164" s="139">
        <f t="shared" si="65"/>
        <v>188525.94853903187</v>
      </c>
      <c r="K164" s="139"/>
      <c r="L164" s="12"/>
      <c r="M164" s="12">
        <f t="shared" si="66"/>
        <v>188525.94853903187</v>
      </c>
      <c r="N164" s="12"/>
      <c r="O164" s="12" t="s">
        <v>222</v>
      </c>
      <c r="P164" s="59"/>
      <c r="Q164" s="59"/>
      <c r="R164" s="45"/>
      <c r="S164" s="45"/>
      <c r="T164" s="45"/>
      <c r="U164" s="45"/>
    </row>
    <row r="165" spans="1:21" s="26" customFormat="1" outlineLevel="1" x14ac:dyDescent="0.3">
      <c r="A165" s="96" t="s">
        <v>173</v>
      </c>
      <c r="B165" s="96"/>
      <c r="C165" s="46" t="s">
        <v>69</v>
      </c>
      <c r="D165" s="15" t="s">
        <v>65</v>
      </c>
      <c r="E165" s="202">
        <v>1729.16</v>
      </c>
      <c r="F165" s="60">
        <v>12</v>
      </c>
      <c r="G165" s="66"/>
      <c r="H165" s="11">
        <f t="shared" si="64"/>
        <v>20749.920000000002</v>
      </c>
      <c r="I165" s="173"/>
      <c r="J165" s="139">
        <f t="shared" si="65"/>
        <v>188525.94853903187</v>
      </c>
      <c r="K165" s="139"/>
      <c r="L165" s="12"/>
      <c r="M165" s="12">
        <f t="shared" si="66"/>
        <v>188525.94853903187</v>
      </c>
      <c r="N165" s="12"/>
      <c r="O165" s="12" t="s">
        <v>222</v>
      </c>
      <c r="P165" s="59"/>
      <c r="Q165" s="59"/>
      <c r="R165" s="45"/>
      <c r="S165" s="45"/>
      <c r="T165" s="45"/>
      <c r="U165" s="45"/>
    </row>
    <row r="166" spans="1:21" s="26" customFormat="1" outlineLevel="1" x14ac:dyDescent="0.3">
      <c r="A166" s="96" t="s">
        <v>173</v>
      </c>
      <c r="B166" s="96"/>
      <c r="C166" s="46" t="s">
        <v>70</v>
      </c>
      <c r="D166" s="15" t="s">
        <v>65</v>
      </c>
      <c r="E166" s="202">
        <v>373.07</v>
      </c>
      <c r="F166" s="60">
        <v>12</v>
      </c>
      <c r="G166" s="66"/>
      <c r="H166" s="11">
        <f t="shared" si="64"/>
        <v>4476.84</v>
      </c>
      <c r="I166" s="173"/>
      <c r="J166" s="139">
        <f t="shared" si="65"/>
        <v>40674.880069777588</v>
      </c>
      <c r="K166" s="139"/>
      <c r="L166" s="12"/>
      <c r="M166" s="12">
        <f t="shared" si="66"/>
        <v>40674.880069777588</v>
      </c>
      <c r="N166" s="12"/>
      <c r="O166" s="12" t="s">
        <v>222</v>
      </c>
      <c r="P166" s="59"/>
      <c r="Q166" s="59"/>
      <c r="R166" s="45"/>
      <c r="S166" s="45"/>
      <c r="T166" s="45"/>
      <c r="U166" s="45"/>
    </row>
    <row r="167" spans="1:21" s="26" customFormat="1" outlineLevel="1" x14ac:dyDescent="0.3">
      <c r="A167" s="96" t="s">
        <v>173</v>
      </c>
      <c r="B167" s="96"/>
      <c r="C167" s="46" t="s">
        <v>71</v>
      </c>
      <c r="D167" s="15" t="s">
        <v>65</v>
      </c>
      <c r="E167" s="202">
        <v>373.07</v>
      </c>
      <c r="F167" s="60">
        <v>12</v>
      </c>
      <c r="G167" s="66"/>
      <c r="H167" s="11">
        <f t="shared" si="64"/>
        <v>4476.84</v>
      </c>
      <c r="I167" s="173"/>
      <c r="J167" s="139">
        <f t="shared" si="65"/>
        <v>40674.880069777588</v>
      </c>
      <c r="K167" s="139"/>
      <c r="L167" s="12"/>
      <c r="M167" s="12">
        <f t="shared" si="66"/>
        <v>40674.880069777588</v>
      </c>
      <c r="N167" s="12"/>
      <c r="O167" s="12" t="s">
        <v>222</v>
      </c>
      <c r="P167" s="59"/>
      <c r="Q167" s="59"/>
      <c r="R167" s="45"/>
      <c r="S167" s="45"/>
      <c r="T167" s="45"/>
      <c r="U167" s="45"/>
    </row>
    <row r="168" spans="1:21" s="26" customFormat="1" outlineLevel="1" x14ac:dyDescent="0.3">
      <c r="A168" s="96" t="s">
        <v>173</v>
      </c>
      <c r="B168" s="96"/>
      <c r="C168" s="46" t="s">
        <v>72</v>
      </c>
      <c r="D168" s="15" t="s">
        <v>65</v>
      </c>
      <c r="E168" s="202">
        <v>1035</v>
      </c>
      <c r="F168" s="60">
        <v>12</v>
      </c>
      <c r="G168" s="66"/>
      <c r="H168" s="11">
        <f t="shared" si="64"/>
        <v>12420</v>
      </c>
      <c r="I168" s="173"/>
      <c r="J168" s="139">
        <f t="shared" si="65"/>
        <v>112843.4365460096</v>
      </c>
      <c r="K168" s="139"/>
      <c r="L168" s="12"/>
      <c r="M168" s="12">
        <f t="shared" si="66"/>
        <v>112843.4365460096</v>
      </c>
      <c r="N168" s="12"/>
      <c r="O168" s="12" t="s">
        <v>222</v>
      </c>
      <c r="P168" s="59"/>
      <c r="Q168" s="59"/>
      <c r="R168" s="45"/>
      <c r="S168" s="45"/>
      <c r="T168" s="45"/>
      <c r="U168" s="45"/>
    </row>
    <row r="169" spans="1:21" x14ac:dyDescent="0.3">
      <c r="A169" s="1"/>
      <c r="B169" s="96"/>
      <c r="C169" s="38"/>
      <c r="D169" s="35"/>
      <c r="E169" s="35"/>
      <c r="F169" s="72"/>
      <c r="G169" s="72"/>
      <c r="H169" s="35"/>
      <c r="I169" s="35"/>
      <c r="J169" s="160"/>
      <c r="K169" s="160"/>
      <c r="L169" s="35"/>
      <c r="M169" s="35"/>
      <c r="N169" s="35"/>
      <c r="O169" s="35"/>
      <c r="P169" s="59"/>
      <c r="Q169" s="59"/>
      <c r="R169" s="35"/>
      <c r="S169" s="35"/>
      <c r="T169" s="35"/>
      <c r="U169" s="35"/>
    </row>
    <row r="170" spans="1:21" s="26" customFormat="1" x14ac:dyDescent="0.3">
      <c r="A170" s="96"/>
      <c r="B170" s="96"/>
      <c r="C170" s="36" t="s">
        <v>223</v>
      </c>
      <c r="D170" s="36"/>
      <c r="E170" s="36"/>
      <c r="F170" s="36"/>
      <c r="G170" s="16">
        <f t="shared" ref="G170:I170" si="67">SUM(G171:G173)</f>
        <v>0</v>
      </c>
      <c r="H170" s="16">
        <f t="shared" si="67"/>
        <v>0</v>
      </c>
      <c r="I170" s="16">
        <f t="shared" si="67"/>
        <v>0</v>
      </c>
      <c r="J170" s="148">
        <f>SUM(J171:J173)</f>
        <v>0</v>
      </c>
      <c r="K170" s="148">
        <f>SUM(K171:K173)</f>
        <v>0</v>
      </c>
      <c r="L170" s="16">
        <f>SUM(L171:L173)</f>
        <v>0</v>
      </c>
      <c r="M170" s="16">
        <f>SUM(M171:M173)</f>
        <v>0</v>
      </c>
      <c r="N170" s="16">
        <f>SUM(N171:N173)</f>
        <v>0</v>
      </c>
      <c r="O170" s="16"/>
      <c r="P170" s="59"/>
      <c r="Q170" s="59">
        <f>+J170-L170-M170-N170</f>
        <v>0</v>
      </c>
      <c r="R170" s="15"/>
      <c r="S170" s="15"/>
      <c r="T170" s="15"/>
      <c r="U170" s="15"/>
    </row>
    <row r="171" spans="1:21" s="26" customFormat="1" hidden="1" outlineLevel="1" x14ac:dyDescent="0.3">
      <c r="A171" s="96"/>
      <c r="B171" s="96"/>
      <c r="C171" s="46"/>
      <c r="D171" s="15" t="s">
        <v>224</v>
      </c>
      <c r="E171" s="47"/>
      <c r="F171" s="77">
        <v>1</v>
      </c>
      <c r="G171" s="66">
        <f t="shared" ref="G171:G173" si="68">+F171*E171</f>
        <v>0</v>
      </c>
      <c r="H171" s="173"/>
      <c r="I171" s="173"/>
      <c r="J171" s="139">
        <f t="shared" ref="J171:J173" si="69">+G171*$J$6</f>
        <v>0</v>
      </c>
      <c r="K171" s="139">
        <f t="shared" ref="K171:K173" si="70">+I171*$K$6</f>
        <v>0</v>
      </c>
      <c r="L171" s="12"/>
      <c r="M171" s="12"/>
      <c r="N171" s="12"/>
      <c r="O171" s="12" t="s">
        <v>222</v>
      </c>
      <c r="P171" s="59"/>
      <c r="Q171" s="59"/>
      <c r="R171" s="45"/>
      <c r="S171" s="45"/>
      <c r="T171" s="45"/>
      <c r="U171" s="45"/>
    </row>
    <row r="172" spans="1:21" s="26" customFormat="1" hidden="1" outlineLevel="1" x14ac:dyDescent="0.3">
      <c r="A172" s="96"/>
      <c r="B172" s="96"/>
      <c r="C172" s="46"/>
      <c r="D172" s="15" t="s">
        <v>224</v>
      </c>
      <c r="E172" s="47"/>
      <c r="F172" s="77">
        <v>1</v>
      </c>
      <c r="G172" s="66">
        <f t="shared" si="68"/>
        <v>0</v>
      </c>
      <c r="H172" s="173"/>
      <c r="I172" s="173"/>
      <c r="J172" s="139">
        <f t="shared" si="69"/>
        <v>0</v>
      </c>
      <c r="K172" s="139">
        <f t="shared" si="70"/>
        <v>0</v>
      </c>
      <c r="L172" s="12"/>
      <c r="M172" s="12"/>
      <c r="N172" s="12"/>
      <c r="O172" s="12" t="s">
        <v>222</v>
      </c>
      <c r="P172" s="59"/>
      <c r="Q172" s="59"/>
      <c r="R172" s="45"/>
      <c r="S172" s="45"/>
      <c r="T172" s="45"/>
      <c r="U172" s="45"/>
    </row>
    <row r="173" spans="1:21" s="26" customFormat="1" hidden="1" outlineLevel="1" x14ac:dyDescent="0.3">
      <c r="A173" s="96"/>
      <c r="B173" s="96"/>
      <c r="C173" s="46"/>
      <c r="D173" s="15" t="s">
        <v>224</v>
      </c>
      <c r="E173" s="47"/>
      <c r="F173" s="77">
        <v>1</v>
      </c>
      <c r="G173" s="66">
        <f t="shared" si="68"/>
        <v>0</v>
      </c>
      <c r="H173" s="173"/>
      <c r="I173" s="173"/>
      <c r="J173" s="139">
        <f t="shared" si="69"/>
        <v>0</v>
      </c>
      <c r="K173" s="139">
        <f t="shared" si="70"/>
        <v>0</v>
      </c>
      <c r="L173" s="12"/>
      <c r="M173" s="12"/>
      <c r="N173" s="12"/>
      <c r="O173" s="12" t="s">
        <v>222</v>
      </c>
      <c r="P173" s="59"/>
      <c r="Q173" s="59"/>
      <c r="R173" s="45"/>
      <c r="S173" s="45"/>
      <c r="T173" s="45"/>
      <c r="U173" s="45"/>
    </row>
    <row r="174" spans="1:21" collapsed="1" x14ac:dyDescent="0.3">
      <c r="A174" s="96"/>
      <c r="B174" s="96"/>
      <c r="C174" s="38"/>
      <c r="D174" s="35"/>
      <c r="E174" s="35"/>
      <c r="F174" s="72"/>
      <c r="G174" s="72"/>
      <c r="H174" s="35"/>
      <c r="I174" s="35"/>
      <c r="J174" s="160"/>
      <c r="K174" s="160"/>
      <c r="L174" s="35"/>
      <c r="M174" s="35"/>
      <c r="N174" s="35"/>
      <c r="O174" s="35"/>
      <c r="P174" s="59"/>
      <c r="Q174" s="59"/>
      <c r="R174" s="35"/>
      <c r="S174" s="35"/>
      <c r="T174" s="35"/>
      <c r="U174" s="35"/>
    </row>
    <row r="175" spans="1:21" s="26" customFormat="1" x14ac:dyDescent="0.3">
      <c r="A175" s="96"/>
      <c r="B175" s="96"/>
      <c r="C175" s="36" t="s">
        <v>225</v>
      </c>
      <c r="D175" s="36"/>
      <c r="E175" s="36"/>
      <c r="F175" s="36"/>
      <c r="G175" s="16"/>
      <c r="H175" s="16">
        <f t="shared" ref="H175:N175" si="71">SUM(H176:H177)</f>
        <v>27901.223999999998</v>
      </c>
      <c r="I175" s="16">
        <f t="shared" si="71"/>
        <v>0</v>
      </c>
      <c r="J175" s="148">
        <f t="shared" si="71"/>
        <v>253500</v>
      </c>
      <c r="K175" s="148">
        <f t="shared" si="71"/>
        <v>0</v>
      </c>
      <c r="L175" s="16">
        <f t="shared" si="71"/>
        <v>0</v>
      </c>
      <c r="M175" s="16">
        <f t="shared" si="71"/>
        <v>253500</v>
      </c>
      <c r="N175" s="16">
        <f t="shared" si="71"/>
        <v>0</v>
      </c>
      <c r="O175" s="16"/>
      <c r="P175" s="59"/>
      <c r="Q175" s="59">
        <f>+J175-L175-M175-N175</f>
        <v>0</v>
      </c>
      <c r="R175" s="15"/>
      <c r="S175" s="15"/>
      <c r="T175" s="15"/>
      <c r="U175" s="15"/>
    </row>
    <row r="176" spans="1:21" s="26" customFormat="1" outlineLevel="1" x14ac:dyDescent="0.3">
      <c r="A176" s="96"/>
      <c r="B176" s="96" t="s">
        <v>160</v>
      </c>
      <c r="C176" s="46" t="s">
        <v>226</v>
      </c>
      <c r="D176" s="15" t="s">
        <v>74</v>
      </c>
      <c r="E176" s="203">
        <f>65000*0.3</f>
        <v>19500</v>
      </c>
      <c r="F176" s="201">
        <v>12</v>
      </c>
      <c r="G176" s="66"/>
      <c r="H176" s="173">
        <f>J176*J6</f>
        <v>25754.975999999999</v>
      </c>
      <c r="I176" s="173"/>
      <c r="J176" s="139">
        <f>F176*E176</f>
        <v>234000</v>
      </c>
      <c r="K176" s="139">
        <f t="shared" ref="K176:K177" si="72">+I176*$K$6</f>
        <v>0</v>
      </c>
      <c r="L176" s="12"/>
      <c r="M176" s="12">
        <f>J176</f>
        <v>234000</v>
      </c>
      <c r="N176" s="12"/>
      <c r="O176" s="12" t="s">
        <v>222</v>
      </c>
      <c r="P176" s="59"/>
      <c r="Q176" s="59"/>
      <c r="R176" s="45"/>
      <c r="S176" s="45"/>
      <c r="T176" s="45"/>
      <c r="U176" s="45"/>
    </row>
    <row r="177" spans="1:21" s="26" customFormat="1" outlineLevel="1" x14ac:dyDescent="0.3">
      <c r="A177" s="96"/>
      <c r="B177" s="96" t="s">
        <v>160</v>
      </c>
      <c r="C177" s="46" t="s">
        <v>75</v>
      </c>
      <c r="D177" s="15" t="s">
        <v>74</v>
      </c>
      <c r="E177" s="203">
        <f>65000*0.3</f>
        <v>19500</v>
      </c>
      <c r="F177" s="201">
        <v>1</v>
      </c>
      <c r="G177" s="66"/>
      <c r="H177" s="173">
        <f>J177*J6</f>
        <v>2146.248</v>
      </c>
      <c r="I177" s="173"/>
      <c r="J177" s="139">
        <f>F177*E177</f>
        <v>19500</v>
      </c>
      <c r="K177" s="139">
        <f t="shared" si="72"/>
        <v>0</v>
      </c>
      <c r="L177" s="12"/>
      <c r="M177" s="12">
        <f>J177</f>
        <v>19500</v>
      </c>
      <c r="N177" s="12"/>
      <c r="O177" s="12" t="s">
        <v>222</v>
      </c>
      <c r="P177" s="59"/>
      <c r="Q177" s="59"/>
      <c r="R177" s="45"/>
      <c r="S177" s="45"/>
      <c r="T177" s="45"/>
      <c r="U177" s="45"/>
    </row>
    <row r="178" spans="1:21" ht="13.5" thickBot="1" x14ac:dyDescent="0.35">
      <c r="A178" s="96"/>
      <c r="B178" s="96"/>
      <c r="D178" s="28"/>
      <c r="E178" s="28"/>
      <c r="F178" s="71"/>
      <c r="G178" s="71"/>
      <c r="H178" s="28"/>
      <c r="I178" s="28"/>
      <c r="J178" s="149"/>
      <c r="K178" s="149"/>
      <c r="L178" s="28"/>
      <c r="M178" s="28"/>
      <c r="N178" s="28"/>
      <c r="O178" s="28"/>
      <c r="P178" s="59"/>
      <c r="Q178" s="59"/>
      <c r="R178" s="28"/>
      <c r="S178" s="28"/>
      <c r="T178" s="28"/>
      <c r="U178" s="28"/>
    </row>
    <row r="179" spans="1:21" ht="13.5" thickBot="1" x14ac:dyDescent="0.35">
      <c r="A179" s="96"/>
      <c r="B179" s="96"/>
      <c r="C179" s="113" t="s">
        <v>76</v>
      </c>
      <c r="D179" s="110"/>
      <c r="E179" s="110"/>
      <c r="F179" s="111"/>
      <c r="G179" s="112">
        <f t="shared" ref="G179:N179" si="73">+G155+G170+G175</f>
        <v>0</v>
      </c>
      <c r="H179" s="112">
        <f t="shared" si="73"/>
        <v>218204.484</v>
      </c>
      <c r="I179" s="112">
        <f t="shared" si="73"/>
        <v>0</v>
      </c>
      <c r="J179" s="112">
        <f t="shared" si="73"/>
        <v>1982523.6589620586</v>
      </c>
      <c r="K179" s="112">
        <f t="shared" si="73"/>
        <v>0</v>
      </c>
      <c r="L179" s="112">
        <f t="shared" si="73"/>
        <v>0</v>
      </c>
      <c r="M179" s="112">
        <f t="shared" si="73"/>
        <v>1982523.6589620586</v>
      </c>
      <c r="N179" s="112">
        <f t="shared" si="73"/>
        <v>0</v>
      </c>
      <c r="O179" s="112"/>
      <c r="P179" s="59"/>
      <c r="Q179" s="59">
        <f>+J179-L179-M179-N179</f>
        <v>0</v>
      </c>
      <c r="R179" s="9"/>
      <c r="S179" s="8"/>
      <c r="T179" s="8"/>
      <c r="U179" s="8"/>
    </row>
    <row r="180" spans="1:21" ht="13.5" thickBot="1" x14ac:dyDescent="0.35">
      <c r="A180" s="96"/>
      <c r="B180" s="96"/>
      <c r="C180" s="7"/>
      <c r="D180" s="28"/>
      <c r="E180" s="28"/>
      <c r="F180" s="71"/>
      <c r="G180" s="71"/>
      <c r="H180" s="28"/>
      <c r="I180" s="28"/>
      <c r="J180" s="187"/>
      <c r="K180" s="149"/>
      <c r="L180" s="28"/>
      <c r="M180" s="28"/>
      <c r="N180" s="28"/>
      <c r="O180" s="28"/>
      <c r="P180" s="59"/>
      <c r="Q180" s="59"/>
      <c r="R180" s="28"/>
      <c r="S180" s="28"/>
      <c r="T180" s="28"/>
      <c r="U180" s="28"/>
    </row>
    <row r="181" spans="1:21" ht="13.5" thickBot="1" x14ac:dyDescent="0.35">
      <c r="A181" s="96"/>
      <c r="B181" s="96"/>
      <c r="C181" s="76" t="s">
        <v>77</v>
      </c>
      <c r="D181" s="75"/>
      <c r="E181" s="75"/>
      <c r="F181" s="74"/>
      <c r="G181" s="74"/>
      <c r="H181" s="180"/>
      <c r="I181" s="180"/>
      <c r="J181" s="155"/>
      <c r="K181" s="155"/>
      <c r="L181" s="73"/>
      <c r="M181" s="73"/>
      <c r="N181" s="73"/>
      <c r="O181" s="120"/>
      <c r="P181" s="59"/>
      <c r="Q181" s="59">
        <f t="shared" ref="Q181:Q233" si="74">+J181-L181-M181-N181</f>
        <v>0</v>
      </c>
      <c r="R181" s="41"/>
      <c r="S181" s="40"/>
      <c r="T181" s="40"/>
      <c r="U181" s="39"/>
    </row>
    <row r="182" spans="1:21" ht="13.5" thickBot="1" x14ac:dyDescent="0.35">
      <c r="A182" s="96"/>
      <c r="B182" s="96"/>
      <c r="C182" s="38"/>
      <c r="D182" s="35"/>
      <c r="E182" s="35"/>
      <c r="F182" s="72"/>
      <c r="G182" s="72"/>
      <c r="H182" s="35"/>
      <c r="I182" s="35"/>
      <c r="J182" s="160"/>
      <c r="K182" s="160"/>
      <c r="L182" s="35"/>
      <c r="M182" s="35"/>
      <c r="N182" s="35"/>
      <c r="O182" s="35"/>
      <c r="P182" s="59"/>
      <c r="Q182" s="59">
        <f t="shared" si="74"/>
        <v>0</v>
      </c>
      <c r="R182" s="35"/>
      <c r="S182" s="35"/>
      <c r="T182" s="35"/>
      <c r="U182" s="35"/>
    </row>
    <row r="183" spans="1:21" ht="13.5" outlineLevel="1" thickBot="1" x14ac:dyDescent="0.35">
      <c r="A183" s="96"/>
      <c r="B183" s="96"/>
      <c r="C183" s="23" t="s">
        <v>78</v>
      </c>
      <c r="D183" s="22"/>
      <c r="E183" s="22"/>
      <c r="F183" s="69"/>
      <c r="G183" s="69"/>
      <c r="H183" s="178"/>
      <c r="I183" s="178"/>
      <c r="J183" s="157"/>
      <c r="K183" s="157"/>
      <c r="L183" s="20"/>
      <c r="M183" s="20"/>
      <c r="N183" s="20"/>
      <c r="O183" s="19"/>
      <c r="P183" s="59"/>
      <c r="Q183" s="59">
        <f t="shared" si="74"/>
        <v>0</v>
      </c>
      <c r="R183" s="21"/>
      <c r="S183" s="20"/>
      <c r="T183" s="20"/>
      <c r="U183" s="19"/>
    </row>
    <row r="184" spans="1:21" outlineLevel="1" x14ac:dyDescent="0.3">
      <c r="A184" s="96"/>
      <c r="B184" s="96"/>
      <c r="C184" s="38"/>
      <c r="D184" s="35"/>
      <c r="E184" s="35"/>
      <c r="F184" s="72"/>
      <c r="G184" s="72"/>
      <c r="H184" s="35"/>
      <c r="I184" s="35"/>
      <c r="J184" s="160"/>
      <c r="K184" s="160"/>
      <c r="L184" s="35"/>
      <c r="M184" s="35"/>
      <c r="N184" s="35"/>
      <c r="O184" s="35"/>
      <c r="P184" s="59"/>
      <c r="Q184" s="59">
        <f t="shared" si="74"/>
        <v>0</v>
      </c>
      <c r="R184" s="35"/>
      <c r="S184" s="35"/>
      <c r="T184" s="35"/>
      <c r="U184" s="35"/>
    </row>
    <row r="185" spans="1:21" outlineLevel="1" x14ac:dyDescent="0.3">
      <c r="A185" s="96"/>
      <c r="B185" s="96"/>
      <c r="C185" s="36" t="s">
        <v>227</v>
      </c>
      <c r="D185" s="36"/>
      <c r="E185" s="36"/>
      <c r="F185" s="36"/>
      <c r="G185" s="36">
        <f t="shared" ref="G185:N185" si="75">SUM(G186:G186)</f>
        <v>0</v>
      </c>
      <c r="H185" s="36">
        <f t="shared" si="75"/>
        <v>16241.704223999999</v>
      </c>
      <c r="I185" s="36">
        <f t="shared" si="75"/>
        <v>0</v>
      </c>
      <c r="J185" s="158">
        <f t="shared" si="75"/>
        <v>147566</v>
      </c>
      <c r="K185" s="158">
        <f t="shared" si="75"/>
        <v>0</v>
      </c>
      <c r="L185" s="36">
        <f t="shared" si="75"/>
        <v>0</v>
      </c>
      <c r="M185" s="36">
        <f t="shared" si="75"/>
        <v>147566</v>
      </c>
      <c r="N185" s="36">
        <f t="shared" si="75"/>
        <v>0</v>
      </c>
      <c r="O185" s="36"/>
      <c r="P185" s="59"/>
      <c r="Q185" s="59">
        <f t="shared" si="74"/>
        <v>0</v>
      </c>
      <c r="R185" s="34"/>
      <c r="S185" s="34"/>
      <c r="T185" s="34"/>
      <c r="U185" s="34"/>
    </row>
    <row r="186" spans="1:21" outlineLevel="1" x14ac:dyDescent="0.3">
      <c r="A186" s="96"/>
      <c r="B186" s="96" t="s">
        <v>160</v>
      </c>
      <c r="C186" s="33" t="s">
        <v>85</v>
      </c>
      <c r="D186" s="193" t="s">
        <v>86</v>
      </c>
      <c r="E186" s="203">
        <f>150000-2429-5</f>
        <v>147566</v>
      </c>
      <c r="F186" s="201">
        <v>1</v>
      </c>
      <c r="G186" s="66">
        <v>0</v>
      </c>
      <c r="H186" s="173">
        <f>J186*J6</f>
        <v>16241.704223999999</v>
      </c>
      <c r="I186" s="173">
        <v>0</v>
      </c>
      <c r="J186" s="139">
        <f>E186*F186</f>
        <v>147566</v>
      </c>
      <c r="K186" s="139">
        <f t="shared" ref="K186" si="76">+I186*$K$6</f>
        <v>0</v>
      </c>
      <c r="L186" s="12"/>
      <c r="M186" s="12">
        <f>J186</f>
        <v>147566</v>
      </c>
      <c r="N186" s="12"/>
      <c r="O186" s="12"/>
      <c r="P186" s="59"/>
      <c r="Q186" s="59">
        <f t="shared" si="74"/>
        <v>0</v>
      </c>
      <c r="R186" s="31"/>
      <c r="S186" s="31"/>
      <c r="T186" s="31"/>
      <c r="U186" s="31"/>
    </row>
    <row r="187" spans="1:21" outlineLevel="1" x14ac:dyDescent="0.3">
      <c r="A187" s="96"/>
      <c r="B187" s="96"/>
      <c r="C187" s="30"/>
      <c r="D187" s="194"/>
      <c r="E187" s="29"/>
      <c r="F187" s="63"/>
      <c r="G187" s="63"/>
      <c r="H187" s="29"/>
      <c r="I187" s="29"/>
      <c r="K187" s="156"/>
      <c r="P187" s="59"/>
      <c r="Q187" s="59">
        <f t="shared" si="74"/>
        <v>0</v>
      </c>
      <c r="R187" s="2"/>
      <c r="S187" s="2"/>
      <c r="T187" s="2"/>
      <c r="U187" s="2"/>
    </row>
    <row r="188" spans="1:21" outlineLevel="1" x14ac:dyDescent="0.3">
      <c r="A188" s="96"/>
      <c r="B188" s="96"/>
      <c r="C188" s="36" t="s">
        <v>79</v>
      </c>
      <c r="D188" s="36"/>
      <c r="E188" s="205"/>
      <c r="F188" s="205"/>
      <c r="G188" s="36">
        <f t="shared" ref="G188:I188" si="77">SUM(G189:G192)</f>
        <v>0</v>
      </c>
      <c r="H188" s="36">
        <f>SUM(H189:H192)</f>
        <v>54623</v>
      </c>
      <c r="I188" s="36">
        <f t="shared" si="77"/>
        <v>0</v>
      </c>
      <c r="J188" s="158">
        <f>SUM(J189:J192)</f>
        <v>496283.98022968456</v>
      </c>
      <c r="K188" s="158">
        <f>SUM(K189:K192)</f>
        <v>0</v>
      </c>
      <c r="L188" s="36">
        <f>SUM(L189:L192)</f>
        <v>0</v>
      </c>
      <c r="M188" s="36">
        <f>SUM(M189:M192)</f>
        <v>496283.98022968456</v>
      </c>
      <c r="N188" s="36">
        <f>SUM(N189:N192)</f>
        <v>0</v>
      </c>
      <c r="O188" s="36"/>
      <c r="P188" s="59"/>
      <c r="Q188" s="59">
        <f t="shared" si="74"/>
        <v>0</v>
      </c>
      <c r="R188" s="34"/>
      <c r="S188" s="34"/>
      <c r="T188" s="34"/>
      <c r="U188" s="34"/>
    </row>
    <row r="189" spans="1:21" outlineLevel="1" x14ac:dyDescent="0.3">
      <c r="A189" s="96" t="s">
        <v>173</v>
      </c>
      <c r="B189" s="96"/>
      <c r="C189" s="33" t="s">
        <v>80</v>
      </c>
      <c r="D189" s="193" t="s">
        <v>81</v>
      </c>
      <c r="E189" s="202">
        <v>5000</v>
      </c>
      <c r="F189" s="201">
        <v>1</v>
      </c>
      <c r="G189" s="66"/>
      <c r="H189" s="173">
        <f>F189*E189</f>
        <v>5000</v>
      </c>
      <c r="I189" s="173"/>
      <c r="J189" s="139">
        <f>+H189/$J$6</f>
        <v>45428.114551533654</v>
      </c>
      <c r="K189" s="139">
        <f t="shared" ref="K189:K192" si="78">+I189*$K$6</f>
        <v>0</v>
      </c>
      <c r="L189" s="12"/>
      <c r="M189" s="12">
        <f>J189</f>
        <v>45428.114551533654</v>
      </c>
      <c r="N189" s="12"/>
      <c r="O189" s="12"/>
      <c r="P189" s="59"/>
      <c r="Q189" s="59">
        <f t="shared" si="74"/>
        <v>0</v>
      </c>
      <c r="R189" s="31"/>
      <c r="S189" s="31"/>
      <c r="T189" s="31"/>
      <c r="U189" s="31"/>
    </row>
    <row r="190" spans="1:21" outlineLevel="1" x14ac:dyDescent="0.3">
      <c r="A190" s="96" t="s">
        <v>173</v>
      </c>
      <c r="B190" s="96"/>
      <c r="C190" s="61" t="s">
        <v>82</v>
      </c>
      <c r="D190" s="34" t="s">
        <v>9</v>
      </c>
      <c r="E190" s="202">
        <v>5000</v>
      </c>
      <c r="F190" s="60">
        <v>1</v>
      </c>
      <c r="G190" s="66"/>
      <c r="H190" s="173">
        <f>F190*E190</f>
        <v>5000</v>
      </c>
      <c r="I190" s="173"/>
      <c r="J190" s="139">
        <f>+H190/$J$6</f>
        <v>45428.114551533654</v>
      </c>
      <c r="K190" s="139"/>
      <c r="L190" s="12"/>
      <c r="M190" s="12">
        <f>J190</f>
        <v>45428.114551533654</v>
      </c>
      <c r="N190" s="12"/>
      <c r="O190" s="12"/>
      <c r="P190" s="59"/>
      <c r="Q190" s="59"/>
      <c r="R190" s="31"/>
      <c r="S190" s="31"/>
      <c r="T190" s="31"/>
      <c r="U190" s="31"/>
    </row>
    <row r="191" spans="1:21" outlineLevel="1" x14ac:dyDescent="0.3">
      <c r="A191" s="96" t="s">
        <v>173</v>
      </c>
      <c r="B191" s="96"/>
      <c r="C191" s="61" t="s">
        <v>83</v>
      </c>
      <c r="D191" s="34" t="s">
        <v>9</v>
      </c>
      <c r="E191" s="202">
        <v>30000</v>
      </c>
      <c r="F191" s="60">
        <v>1</v>
      </c>
      <c r="G191" s="66"/>
      <c r="H191" s="173">
        <f>F191*E191</f>
        <v>30000</v>
      </c>
      <c r="I191" s="173"/>
      <c r="J191" s="139">
        <f>+H191/$J$6</f>
        <v>272568.68730920192</v>
      </c>
      <c r="K191" s="139"/>
      <c r="L191" s="12"/>
      <c r="M191" s="12">
        <f>J191</f>
        <v>272568.68730920192</v>
      </c>
      <c r="N191" s="12"/>
      <c r="O191" s="12"/>
      <c r="P191" s="59"/>
      <c r="Q191" s="59"/>
      <c r="R191" s="31"/>
      <c r="S191" s="31"/>
      <c r="T191" s="31"/>
      <c r="U191" s="31"/>
    </row>
    <row r="192" spans="1:21" outlineLevel="1" x14ac:dyDescent="0.3">
      <c r="A192" s="96" t="s">
        <v>173</v>
      </c>
      <c r="B192" s="96"/>
      <c r="C192" s="33" t="s">
        <v>84</v>
      </c>
      <c r="D192" s="193" t="s">
        <v>81</v>
      </c>
      <c r="E192" s="202">
        <v>14623</v>
      </c>
      <c r="F192" s="201">
        <v>1</v>
      </c>
      <c r="G192" s="66"/>
      <c r="H192" s="173">
        <f>F192*E192</f>
        <v>14623</v>
      </c>
      <c r="I192" s="173"/>
      <c r="J192" s="139">
        <f>+H192/$J$6</f>
        <v>132859.06381741533</v>
      </c>
      <c r="K192" s="139">
        <f t="shared" si="78"/>
        <v>0</v>
      </c>
      <c r="L192" s="12"/>
      <c r="M192" s="12">
        <f>J192</f>
        <v>132859.06381741533</v>
      </c>
      <c r="N192" s="12"/>
      <c r="O192" s="12"/>
      <c r="P192" s="59"/>
      <c r="Q192" s="59">
        <f t="shared" si="74"/>
        <v>0</v>
      </c>
      <c r="R192" s="31"/>
      <c r="S192" s="31"/>
      <c r="T192" s="31"/>
      <c r="U192" s="31"/>
    </row>
    <row r="193" spans="1:21" ht="13.5" outlineLevel="1" thickBot="1" x14ac:dyDescent="0.35">
      <c r="A193" s="96"/>
      <c r="B193" s="96"/>
      <c r="C193" s="30"/>
      <c r="D193" s="194"/>
      <c r="E193" s="29"/>
      <c r="F193" s="63"/>
      <c r="G193" s="63"/>
      <c r="H193" s="29"/>
      <c r="I193" s="29"/>
      <c r="K193" s="156"/>
      <c r="P193" s="59"/>
      <c r="Q193" s="59">
        <f t="shared" si="74"/>
        <v>0</v>
      </c>
      <c r="R193" s="2"/>
      <c r="S193" s="2"/>
      <c r="T193" s="2"/>
      <c r="U193" s="2"/>
    </row>
    <row r="194" spans="1:21" s="26" customFormat="1" ht="13.5" thickBot="1" x14ac:dyDescent="0.35">
      <c r="A194" s="96"/>
      <c r="B194" s="96"/>
      <c r="C194" s="106" t="s">
        <v>87</v>
      </c>
      <c r="D194" s="107"/>
      <c r="E194" s="206"/>
      <c r="F194" s="207"/>
      <c r="G194" s="108">
        <f t="shared" ref="G194:N194" si="79">+G188+G185</f>
        <v>0</v>
      </c>
      <c r="H194" s="108">
        <f t="shared" si="79"/>
        <v>70864.704224000001</v>
      </c>
      <c r="I194" s="108">
        <f t="shared" si="79"/>
        <v>0</v>
      </c>
      <c r="J194" s="162">
        <f t="shared" si="79"/>
        <v>643849.98022968462</v>
      </c>
      <c r="K194" s="162">
        <f t="shared" si="79"/>
        <v>0</v>
      </c>
      <c r="L194" s="108">
        <f t="shared" si="79"/>
        <v>0</v>
      </c>
      <c r="M194" s="108">
        <f t="shared" si="79"/>
        <v>643849.98022968462</v>
      </c>
      <c r="N194" s="108">
        <f t="shared" si="79"/>
        <v>0</v>
      </c>
      <c r="O194" s="108"/>
      <c r="P194" s="59"/>
      <c r="Q194" s="59">
        <f t="shared" si="74"/>
        <v>0</v>
      </c>
      <c r="R194" s="5"/>
      <c r="S194" s="4"/>
      <c r="T194" s="4"/>
      <c r="U194" s="4"/>
    </row>
    <row r="195" spans="1:21" ht="13.5" thickBot="1" x14ac:dyDescent="0.35">
      <c r="A195" s="96"/>
      <c r="B195" s="96"/>
      <c r="C195" s="7"/>
      <c r="D195" s="28"/>
      <c r="E195" s="17"/>
      <c r="F195" s="67"/>
      <c r="G195" s="71"/>
      <c r="H195" s="28"/>
      <c r="I195" s="191"/>
      <c r="J195" s="163"/>
      <c r="K195" s="163"/>
      <c r="L195" s="27"/>
      <c r="M195" s="27"/>
      <c r="N195" s="27"/>
      <c r="O195" s="27"/>
      <c r="P195" s="59"/>
      <c r="Q195" s="59">
        <f t="shared" si="74"/>
        <v>0</v>
      </c>
      <c r="R195" s="27"/>
      <c r="S195" s="27"/>
      <c r="T195" s="27"/>
      <c r="U195" s="27"/>
    </row>
    <row r="196" spans="1:21" ht="13.5" outlineLevel="1" thickBot="1" x14ac:dyDescent="0.35">
      <c r="A196" s="96"/>
      <c r="B196" s="96"/>
      <c r="C196" s="23" t="s">
        <v>88</v>
      </c>
      <c r="D196" s="22"/>
      <c r="E196" s="208"/>
      <c r="F196" s="209"/>
      <c r="G196" s="69"/>
      <c r="H196" s="178"/>
      <c r="I196" s="178"/>
      <c r="J196" s="157"/>
      <c r="K196" s="157"/>
      <c r="L196" s="20"/>
      <c r="M196" s="20"/>
      <c r="N196" s="20"/>
      <c r="O196" s="19"/>
      <c r="P196" s="59"/>
      <c r="Q196" s="59">
        <f t="shared" si="74"/>
        <v>0</v>
      </c>
      <c r="R196" s="21"/>
      <c r="S196" s="20"/>
      <c r="T196" s="20"/>
      <c r="U196" s="19"/>
    </row>
    <row r="197" spans="1:21" outlineLevel="1" x14ac:dyDescent="0.3">
      <c r="A197" s="96"/>
      <c r="B197" s="96"/>
      <c r="D197" s="42"/>
      <c r="H197" s="2"/>
      <c r="I197" s="2"/>
      <c r="J197" s="159"/>
      <c r="K197" s="159"/>
      <c r="L197" s="10"/>
      <c r="M197" s="10"/>
      <c r="N197" s="10"/>
      <c r="O197" s="10"/>
      <c r="P197" s="59"/>
      <c r="Q197" s="59">
        <f t="shared" si="74"/>
        <v>0</v>
      </c>
      <c r="R197" s="10"/>
      <c r="S197" s="10"/>
      <c r="T197" s="10"/>
      <c r="U197" s="10"/>
    </row>
    <row r="198" spans="1:21" s="26" customFormat="1" outlineLevel="1" x14ac:dyDescent="0.3">
      <c r="A198" s="96"/>
      <c r="B198" s="96"/>
      <c r="C198" s="36" t="s">
        <v>88</v>
      </c>
      <c r="D198" s="36"/>
      <c r="E198" s="205"/>
      <c r="F198" s="205"/>
      <c r="G198" s="36">
        <f t="shared" ref="G198:I198" si="80">SUM(G199:G200)</f>
        <v>0</v>
      </c>
      <c r="H198" s="36">
        <f>SUM(H199:H200)</f>
        <v>24214.080000000002</v>
      </c>
      <c r="I198" s="36">
        <f t="shared" si="80"/>
        <v>0</v>
      </c>
      <c r="J198" s="158">
        <f>SUM(J199:J200)</f>
        <v>220000</v>
      </c>
      <c r="K198" s="158">
        <f>SUM(K199:K200)</f>
        <v>0</v>
      </c>
      <c r="L198" s="16">
        <f>SUM(L199:L200)</f>
        <v>0</v>
      </c>
      <c r="M198" s="16">
        <f>SUM(M199:M200)</f>
        <v>220000</v>
      </c>
      <c r="N198" s="16">
        <f>SUM(N199:N200)</f>
        <v>0</v>
      </c>
      <c r="O198" s="16"/>
      <c r="P198" s="59"/>
      <c r="Q198" s="59">
        <f t="shared" si="74"/>
        <v>0</v>
      </c>
      <c r="R198" s="15"/>
      <c r="S198" s="15"/>
      <c r="T198" s="15"/>
      <c r="U198" s="15"/>
    </row>
    <row r="199" spans="1:21" outlineLevel="1" x14ac:dyDescent="0.3">
      <c r="A199" s="96"/>
      <c r="B199" s="96" t="s">
        <v>160</v>
      </c>
      <c r="C199" s="14" t="s">
        <v>92</v>
      </c>
      <c r="D199" s="15" t="s">
        <v>93</v>
      </c>
      <c r="E199" s="203">
        <v>60000</v>
      </c>
      <c r="F199" s="201">
        <v>2</v>
      </c>
      <c r="G199" s="66">
        <v>0</v>
      </c>
      <c r="H199" s="173">
        <f>J199*J6</f>
        <v>13207.68</v>
      </c>
      <c r="I199" s="173">
        <v>0</v>
      </c>
      <c r="J199" s="139">
        <f>F199*E199</f>
        <v>120000</v>
      </c>
      <c r="K199" s="139"/>
      <c r="L199" s="12"/>
      <c r="M199" s="12">
        <f>J199</f>
        <v>120000</v>
      </c>
      <c r="N199" s="12"/>
      <c r="O199" s="12"/>
      <c r="P199" s="59"/>
      <c r="Q199" s="59">
        <f t="shared" si="74"/>
        <v>0</v>
      </c>
      <c r="R199" s="11"/>
      <c r="S199" s="11"/>
      <c r="T199" s="11"/>
      <c r="U199" s="11"/>
    </row>
    <row r="200" spans="1:21" outlineLevel="1" x14ac:dyDescent="0.3">
      <c r="A200" s="96"/>
      <c r="B200" s="96" t="s">
        <v>160</v>
      </c>
      <c r="C200" s="14" t="s">
        <v>75</v>
      </c>
      <c r="D200" s="15" t="s">
        <v>94</v>
      </c>
      <c r="E200" s="203">
        <v>25000</v>
      </c>
      <c r="F200" s="201">
        <v>4</v>
      </c>
      <c r="G200" s="66">
        <v>0</v>
      </c>
      <c r="H200" s="173">
        <f>J200*J6</f>
        <v>11006.4</v>
      </c>
      <c r="I200" s="173">
        <v>0</v>
      </c>
      <c r="J200" s="139">
        <f>F200*E200</f>
        <v>100000</v>
      </c>
      <c r="K200" s="139"/>
      <c r="L200" s="12"/>
      <c r="M200" s="12">
        <f>J200</f>
        <v>100000</v>
      </c>
      <c r="N200" s="12"/>
      <c r="O200" s="12"/>
      <c r="P200" s="59"/>
      <c r="Q200" s="59">
        <f t="shared" si="74"/>
        <v>0</v>
      </c>
      <c r="R200" s="11"/>
      <c r="S200" s="11"/>
      <c r="T200" s="11"/>
      <c r="U200" s="11"/>
    </row>
    <row r="201" spans="1:21" s="26" customFormat="1" outlineLevel="1" x14ac:dyDescent="0.3">
      <c r="A201" s="96"/>
      <c r="B201" s="96"/>
      <c r="C201" s="25"/>
      <c r="D201" s="195"/>
      <c r="E201" s="24"/>
      <c r="F201" s="70"/>
      <c r="G201" s="63"/>
      <c r="H201" s="29"/>
      <c r="I201" s="29"/>
      <c r="J201" s="156"/>
      <c r="K201" s="156"/>
      <c r="L201" s="24"/>
      <c r="M201" s="24"/>
      <c r="N201" s="24"/>
      <c r="O201" s="24"/>
      <c r="P201" s="59"/>
      <c r="Q201" s="59">
        <f t="shared" si="74"/>
        <v>0</v>
      </c>
      <c r="R201" s="24"/>
      <c r="S201" s="24"/>
      <c r="T201" s="24"/>
      <c r="U201" s="24"/>
    </row>
    <row r="202" spans="1:21" outlineLevel="1" x14ac:dyDescent="0.3">
      <c r="A202" s="96"/>
      <c r="B202" s="96"/>
      <c r="C202" s="36" t="s">
        <v>88</v>
      </c>
      <c r="D202" s="36"/>
      <c r="E202" s="205"/>
      <c r="F202" s="205"/>
      <c r="G202" s="36">
        <f t="shared" ref="G202:I202" si="81">SUM(G203:G204)</f>
        <v>0</v>
      </c>
      <c r="H202" s="36">
        <f t="shared" si="81"/>
        <v>8800</v>
      </c>
      <c r="I202" s="36">
        <f t="shared" si="81"/>
        <v>0</v>
      </c>
      <c r="J202" s="158">
        <f>SUM(J203:J204)</f>
        <v>79953.481610699237</v>
      </c>
      <c r="K202" s="158">
        <f>SUM(K203:K204)</f>
        <v>0</v>
      </c>
      <c r="L202" s="36">
        <f>SUM(L203:L204)</f>
        <v>0</v>
      </c>
      <c r="M202" s="36">
        <f>SUM(M203:M204)</f>
        <v>79953.481610699237</v>
      </c>
      <c r="N202" s="36">
        <f>SUM(N203:N204)</f>
        <v>0</v>
      </c>
      <c r="O202" s="36"/>
      <c r="P202" s="59"/>
      <c r="Q202" s="59">
        <f t="shared" ref="Q202:Q205" si="82">+J202-L202-M202-N202</f>
        <v>0</v>
      </c>
      <c r="R202" s="34"/>
      <c r="S202" s="34"/>
      <c r="T202" s="34"/>
      <c r="U202" s="34"/>
    </row>
    <row r="203" spans="1:21" outlineLevel="1" x14ac:dyDescent="0.3">
      <c r="A203" s="96" t="s">
        <v>173</v>
      </c>
      <c r="B203" s="96"/>
      <c r="C203" s="33" t="s">
        <v>89</v>
      </c>
      <c r="D203" s="193" t="s">
        <v>90</v>
      </c>
      <c r="E203" s="202">
        <v>4400</v>
      </c>
      <c r="F203" s="201">
        <v>1</v>
      </c>
      <c r="G203" s="66"/>
      <c r="H203" s="173">
        <f>E203*F203</f>
        <v>4400</v>
      </c>
      <c r="I203" s="173"/>
      <c r="J203" s="139">
        <f>H203/$J$6</f>
        <v>39976.740805349618</v>
      </c>
      <c r="K203" s="139">
        <f t="shared" ref="K203:K204" si="83">+I203*$K$6</f>
        <v>0</v>
      </c>
      <c r="L203" s="12"/>
      <c r="M203" s="12">
        <f>J203</f>
        <v>39976.740805349618</v>
      </c>
      <c r="N203" s="12"/>
      <c r="O203" s="12"/>
      <c r="P203" s="59"/>
      <c r="Q203" s="59">
        <f t="shared" si="82"/>
        <v>0</v>
      </c>
      <c r="R203" s="31"/>
      <c r="S203" s="31"/>
      <c r="T203" s="31"/>
      <c r="U203" s="31"/>
    </row>
    <row r="204" spans="1:21" outlineLevel="1" x14ac:dyDescent="0.3">
      <c r="A204" s="96" t="s">
        <v>173</v>
      </c>
      <c r="B204" s="96"/>
      <c r="C204" s="33" t="s">
        <v>91</v>
      </c>
      <c r="D204" s="193" t="s">
        <v>90</v>
      </c>
      <c r="E204" s="202">
        <v>4400</v>
      </c>
      <c r="F204" s="201">
        <v>1</v>
      </c>
      <c r="G204" s="66"/>
      <c r="H204" s="173">
        <f>E204*F204</f>
        <v>4400</v>
      </c>
      <c r="I204" s="173"/>
      <c r="J204" s="139">
        <f>H204/$J$6</f>
        <v>39976.740805349618</v>
      </c>
      <c r="K204" s="139">
        <f t="shared" si="83"/>
        <v>0</v>
      </c>
      <c r="L204" s="12"/>
      <c r="M204" s="12">
        <f>J204</f>
        <v>39976.740805349618</v>
      </c>
      <c r="N204" s="12"/>
      <c r="O204" s="12"/>
      <c r="P204" s="59"/>
      <c r="Q204" s="59">
        <f t="shared" si="82"/>
        <v>0</v>
      </c>
      <c r="R204" s="31"/>
      <c r="S204" s="31"/>
      <c r="T204" s="31"/>
      <c r="U204" s="31"/>
    </row>
    <row r="205" spans="1:21" ht="13.5" outlineLevel="1" thickBot="1" x14ac:dyDescent="0.35">
      <c r="A205" s="96"/>
      <c r="B205" s="96"/>
      <c r="C205" s="30"/>
      <c r="D205" s="29"/>
      <c r="E205" s="29"/>
      <c r="F205" s="63"/>
      <c r="G205" s="63"/>
      <c r="H205" s="29"/>
      <c r="I205" s="29"/>
      <c r="K205" s="156"/>
      <c r="P205" s="59"/>
      <c r="Q205" s="59">
        <f t="shared" si="82"/>
        <v>0</v>
      </c>
      <c r="R205" s="2"/>
      <c r="S205" s="2"/>
      <c r="T205" s="2"/>
      <c r="U205" s="2"/>
    </row>
    <row r="206" spans="1:21" s="26" customFormat="1" ht="13.5" thickBot="1" x14ac:dyDescent="0.35">
      <c r="A206" s="96"/>
      <c r="B206" s="96"/>
      <c r="C206" s="106" t="s">
        <v>95</v>
      </c>
      <c r="D206" s="107"/>
      <c r="E206" s="206"/>
      <c r="F206" s="207"/>
      <c r="G206" s="108">
        <f t="shared" ref="G206:N206" si="84">+G202+G198</f>
        <v>0</v>
      </c>
      <c r="H206" s="108">
        <f>+H202+H198</f>
        <v>33014.080000000002</v>
      </c>
      <c r="I206" s="108">
        <f t="shared" si="84"/>
        <v>0</v>
      </c>
      <c r="J206" s="162">
        <f t="shared" si="84"/>
        <v>299953.48161069921</v>
      </c>
      <c r="K206" s="162">
        <f t="shared" si="84"/>
        <v>0</v>
      </c>
      <c r="L206" s="108">
        <f t="shared" si="84"/>
        <v>0</v>
      </c>
      <c r="M206" s="108">
        <f t="shared" si="84"/>
        <v>299953.48161069921</v>
      </c>
      <c r="N206" s="108">
        <f t="shared" si="84"/>
        <v>0</v>
      </c>
      <c r="O206" s="108"/>
      <c r="P206" s="59"/>
      <c r="Q206" s="59">
        <f t="shared" si="74"/>
        <v>0</v>
      </c>
      <c r="R206" s="5"/>
      <c r="S206" s="4"/>
      <c r="T206" s="4"/>
      <c r="U206" s="4"/>
    </row>
    <row r="207" spans="1:21" ht="13.5" thickBot="1" x14ac:dyDescent="0.35">
      <c r="A207" s="96"/>
      <c r="B207" s="96"/>
      <c r="C207" s="25"/>
      <c r="D207" s="24"/>
      <c r="E207" s="24"/>
      <c r="F207" s="70"/>
      <c r="G207" s="70"/>
      <c r="H207" s="24"/>
      <c r="I207" s="24"/>
      <c r="J207" s="164"/>
      <c r="K207" s="164"/>
      <c r="L207" s="24"/>
      <c r="M207" s="24"/>
      <c r="N207" s="24"/>
      <c r="O207" s="24"/>
      <c r="P207" s="59"/>
      <c r="Q207" s="59">
        <f t="shared" si="74"/>
        <v>0</v>
      </c>
      <c r="R207" s="24"/>
      <c r="S207" s="24"/>
      <c r="T207" s="24"/>
      <c r="U207" s="24"/>
    </row>
    <row r="208" spans="1:21" ht="13.5" hidden="1" outlineLevel="1" thickBot="1" x14ac:dyDescent="0.35">
      <c r="A208" s="96"/>
      <c r="B208" s="96"/>
      <c r="C208" s="23" t="s">
        <v>228</v>
      </c>
      <c r="D208" s="22"/>
      <c r="E208" s="208"/>
      <c r="F208" s="209"/>
      <c r="G208" s="69"/>
      <c r="H208" s="178"/>
      <c r="I208" s="178"/>
      <c r="J208" s="157"/>
      <c r="K208" s="157"/>
      <c r="L208" s="20"/>
      <c r="M208" s="20"/>
      <c r="N208" s="20"/>
      <c r="O208" s="19"/>
      <c r="P208" s="59"/>
      <c r="Q208" s="59">
        <f t="shared" si="74"/>
        <v>0</v>
      </c>
      <c r="R208" s="21"/>
      <c r="S208" s="20"/>
      <c r="T208" s="20"/>
      <c r="U208" s="19"/>
    </row>
    <row r="209" spans="1:21" hidden="1" outlineLevel="1" x14ac:dyDescent="0.3">
      <c r="A209" s="96"/>
      <c r="B209" s="96"/>
      <c r="C209" s="18"/>
      <c r="D209" s="10"/>
      <c r="E209" s="10"/>
      <c r="F209" s="68"/>
      <c r="G209" s="68"/>
      <c r="H209" s="10"/>
      <c r="I209" s="10"/>
      <c r="J209" s="159"/>
      <c r="K209" s="159"/>
      <c r="L209" s="10"/>
      <c r="M209" s="10"/>
      <c r="N209" s="10"/>
      <c r="O209" s="10"/>
      <c r="P209" s="59"/>
      <c r="Q209" s="59">
        <f t="shared" si="74"/>
        <v>0</v>
      </c>
      <c r="R209" s="10"/>
      <c r="S209" s="10"/>
      <c r="T209" s="10"/>
      <c r="U209" s="10"/>
    </row>
    <row r="210" spans="1:21" hidden="1" outlineLevel="1" x14ac:dyDescent="0.3">
      <c r="A210" s="96"/>
      <c r="B210" s="96"/>
      <c r="C210" s="36" t="s">
        <v>229</v>
      </c>
      <c r="D210" s="36"/>
      <c r="E210" s="205"/>
      <c r="F210" s="205"/>
      <c r="G210" s="36">
        <f t="shared" ref="G210:I210" si="85">SUM(G211:G212)</f>
        <v>0</v>
      </c>
      <c r="H210" s="36">
        <f t="shared" si="85"/>
        <v>0</v>
      </c>
      <c r="I210" s="36">
        <f t="shared" si="85"/>
        <v>0</v>
      </c>
      <c r="J210" s="158">
        <f>SUM(J211:J212)</f>
        <v>0</v>
      </c>
      <c r="K210" s="158">
        <f>SUM(K211:K212)</f>
        <v>0</v>
      </c>
      <c r="L210" s="16">
        <f>SUM(L211:L213)</f>
        <v>0</v>
      </c>
      <c r="M210" s="16">
        <f>SUM(M211:M213)</f>
        <v>0</v>
      </c>
      <c r="N210" s="16">
        <f>SUM(N211:N213)</f>
        <v>0</v>
      </c>
      <c r="O210" s="16"/>
      <c r="P210" s="59"/>
      <c r="Q210" s="59">
        <f t="shared" si="74"/>
        <v>0</v>
      </c>
      <c r="R210" s="15"/>
      <c r="S210" s="15"/>
      <c r="T210" s="15"/>
      <c r="U210" s="15"/>
    </row>
    <row r="211" spans="1:21" hidden="1" outlineLevel="1" x14ac:dyDescent="0.3">
      <c r="A211" s="96"/>
      <c r="B211" s="96"/>
      <c r="C211" s="14"/>
      <c r="D211" s="11"/>
      <c r="E211" s="31"/>
      <c r="F211" s="201">
        <v>1</v>
      </c>
      <c r="G211" s="66">
        <f t="shared" ref="G211:G212" si="86">+F211*E211</f>
        <v>0</v>
      </c>
      <c r="H211" s="173"/>
      <c r="I211" s="173"/>
      <c r="J211" s="139">
        <f t="shared" ref="J211:J212" si="87">+G211*$J$6</f>
        <v>0</v>
      </c>
      <c r="K211" s="139">
        <f t="shared" ref="K211:K212" si="88">+I211*$K$6</f>
        <v>0</v>
      </c>
      <c r="L211" s="12"/>
      <c r="M211" s="12"/>
      <c r="N211" s="12"/>
      <c r="O211" s="12"/>
      <c r="P211" s="59"/>
      <c r="Q211" s="59">
        <f t="shared" si="74"/>
        <v>0</v>
      </c>
      <c r="R211" s="11"/>
      <c r="S211" s="11"/>
      <c r="T211" s="11"/>
      <c r="U211" s="11"/>
    </row>
    <row r="212" spans="1:21" hidden="1" outlineLevel="1" x14ac:dyDescent="0.3">
      <c r="A212" s="96"/>
      <c r="B212" s="96"/>
      <c r="C212" s="14"/>
      <c r="D212" s="11"/>
      <c r="E212" s="31"/>
      <c r="F212" s="201">
        <v>1</v>
      </c>
      <c r="G212" s="66">
        <f t="shared" si="86"/>
        <v>0</v>
      </c>
      <c r="H212" s="173"/>
      <c r="I212" s="173"/>
      <c r="J212" s="139">
        <f t="shared" si="87"/>
        <v>0</v>
      </c>
      <c r="K212" s="139">
        <f t="shared" si="88"/>
        <v>0</v>
      </c>
      <c r="L212" s="12"/>
      <c r="M212" s="12"/>
      <c r="N212" s="12"/>
      <c r="O212" s="12"/>
      <c r="P212" s="59"/>
      <c r="Q212" s="59"/>
      <c r="R212" s="11"/>
      <c r="S212" s="11"/>
      <c r="T212" s="11"/>
      <c r="U212" s="11"/>
    </row>
    <row r="213" spans="1:21" hidden="1" outlineLevel="1" x14ac:dyDescent="0.3">
      <c r="A213" s="96"/>
      <c r="B213" s="96"/>
      <c r="C213" s="102"/>
      <c r="D213" s="103"/>
      <c r="E213" s="103"/>
      <c r="F213" s="104"/>
      <c r="G213" s="63"/>
      <c r="H213" s="29"/>
      <c r="I213" s="29"/>
      <c r="K213" s="156"/>
      <c r="L213" s="105"/>
      <c r="M213" s="105"/>
      <c r="N213" s="105"/>
      <c r="O213" s="10"/>
      <c r="P213" s="59"/>
      <c r="Q213" s="59">
        <f t="shared" si="74"/>
        <v>0</v>
      </c>
      <c r="R213" s="10"/>
      <c r="S213" s="10"/>
      <c r="T213" s="10"/>
      <c r="U213" s="10"/>
    </row>
    <row r="214" spans="1:21" hidden="1" outlineLevel="1" x14ac:dyDescent="0.3">
      <c r="A214" s="96"/>
      <c r="B214" s="96"/>
      <c r="C214" s="36" t="s">
        <v>229</v>
      </c>
      <c r="D214" s="36"/>
      <c r="E214" s="205"/>
      <c r="F214" s="205"/>
      <c r="G214" s="36">
        <f t="shared" ref="G214:I214" si="89">SUM(G215:G216)</f>
        <v>0</v>
      </c>
      <c r="H214" s="36">
        <f t="shared" si="89"/>
        <v>0</v>
      </c>
      <c r="I214" s="36">
        <f t="shared" si="89"/>
        <v>0</v>
      </c>
      <c r="J214" s="158">
        <f>SUM(J215:J216)</f>
        <v>0</v>
      </c>
      <c r="K214" s="158">
        <f>SUM(K215:K216)</f>
        <v>0</v>
      </c>
      <c r="L214" s="36">
        <f>SUM(L215:L216)</f>
        <v>0</v>
      </c>
      <c r="M214" s="36">
        <f>SUM(M215:M216)</f>
        <v>0</v>
      </c>
      <c r="N214" s="36">
        <f>SUM(N215:N216)</f>
        <v>0</v>
      </c>
      <c r="O214" s="36"/>
      <c r="P214" s="59"/>
      <c r="Q214" s="59">
        <f t="shared" ref="Q214:Q217" si="90">+J214-L214-M214-N214</f>
        <v>0</v>
      </c>
      <c r="R214" s="34"/>
      <c r="S214" s="34"/>
      <c r="T214" s="34"/>
      <c r="U214" s="34"/>
    </row>
    <row r="215" spans="1:21" hidden="1" outlineLevel="1" x14ac:dyDescent="0.3">
      <c r="A215" s="96"/>
      <c r="B215" s="96"/>
      <c r="C215" s="33"/>
      <c r="D215" s="32"/>
      <c r="E215" s="31"/>
      <c r="F215" s="201">
        <v>1</v>
      </c>
      <c r="G215" s="66">
        <f t="shared" ref="G215:G216" si="91">+F215*E215</f>
        <v>0</v>
      </c>
      <c r="H215" s="173"/>
      <c r="I215" s="173"/>
      <c r="J215" s="139">
        <f t="shared" ref="J215:J216" si="92">+G215*$J$6</f>
        <v>0</v>
      </c>
      <c r="K215" s="139">
        <f t="shared" ref="K215:K216" si="93">+I215*$K$6</f>
        <v>0</v>
      </c>
      <c r="L215" s="12"/>
      <c r="M215" s="12"/>
      <c r="N215" s="12"/>
      <c r="O215" s="12"/>
      <c r="P215" s="59"/>
      <c r="Q215" s="59">
        <f t="shared" si="90"/>
        <v>0</v>
      </c>
      <c r="R215" s="31"/>
      <c r="S215" s="31"/>
      <c r="T215" s="31"/>
      <c r="U215" s="31"/>
    </row>
    <row r="216" spans="1:21" hidden="1" outlineLevel="1" x14ac:dyDescent="0.3">
      <c r="A216" s="96"/>
      <c r="B216" s="96"/>
      <c r="C216" s="33"/>
      <c r="D216" s="32"/>
      <c r="E216" s="31"/>
      <c r="F216" s="201">
        <v>1</v>
      </c>
      <c r="G216" s="66">
        <f t="shared" si="91"/>
        <v>0</v>
      </c>
      <c r="H216" s="173"/>
      <c r="I216" s="173"/>
      <c r="J216" s="139">
        <f t="shared" si="92"/>
        <v>0</v>
      </c>
      <c r="K216" s="139">
        <f t="shared" si="93"/>
        <v>0</v>
      </c>
      <c r="L216" s="12"/>
      <c r="M216" s="12"/>
      <c r="N216" s="12"/>
      <c r="O216" s="12"/>
      <c r="P216" s="59"/>
      <c r="Q216" s="59">
        <f t="shared" si="90"/>
        <v>0</v>
      </c>
      <c r="R216" s="31"/>
      <c r="S216" s="31"/>
      <c r="T216" s="31"/>
      <c r="U216" s="31"/>
    </row>
    <row r="217" spans="1:21" ht="13.5" hidden="1" outlineLevel="1" thickBot="1" x14ac:dyDescent="0.35">
      <c r="A217" s="96"/>
      <c r="B217" s="96"/>
      <c r="C217" s="30"/>
      <c r="D217" s="29"/>
      <c r="E217" s="29"/>
      <c r="F217" s="63"/>
      <c r="G217" s="63"/>
      <c r="H217" s="29"/>
      <c r="I217" s="29"/>
      <c r="K217" s="156"/>
      <c r="P217" s="59"/>
      <c r="Q217" s="59">
        <f t="shared" si="90"/>
        <v>0</v>
      </c>
      <c r="R217" s="2"/>
      <c r="S217" s="2"/>
      <c r="T217" s="2"/>
      <c r="U217" s="2"/>
    </row>
    <row r="218" spans="1:21" s="26" customFormat="1" ht="13.5" collapsed="1" thickBot="1" x14ac:dyDescent="0.35">
      <c r="A218" s="96"/>
      <c r="B218" s="96"/>
      <c r="C218" s="106" t="s">
        <v>230</v>
      </c>
      <c r="D218" s="107"/>
      <c r="E218" s="206"/>
      <c r="F218" s="207"/>
      <c r="G218" s="108">
        <f t="shared" ref="G218:I218" si="94">+G214+G210</f>
        <v>0</v>
      </c>
      <c r="H218" s="108">
        <f t="shared" si="94"/>
        <v>0</v>
      </c>
      <c r="I218" s="108">
        <f t="shared" si="94"/>
        <v>0</v>
      </c>
      <c r="J218" s="162">
        <f>+J214+J210</f>
        <v>0</v>
      </c>
      <c r="K218" s="162">
        <f>+K214+K210</f>
        <v>0</v>
      </c>
      <c r="L218" s="108">
        <f>+L210+L214</f>
        <v>0</v>
      </c>
      <c r="M218" s="108">
        <f t="shared" ref="M218:N218" si="95">+M210+M214</f>
        <v>0</v>
      </c>
      <c r="N218" s="108">
        <f t="shared" si="95"/>
        <v>0</v>
      </c>
      <c r="O218" s="108"/>
      <c r="P218" s="59"/>
      <c r="Q218" s="59">
        <f t="shared" ref="Q218" si="96">+J218-L218-M218-N218</f>
        <v>0</v>
      </c>
      <c r="R218" s="5"/>
      <c r="S218" s="4"/>
      <c r="T218" s="4"/>
      <c r="U218" s="4"/>
    </row>
    <row r="219" spans="1:21" ht="13.5" outlineLevel="1" thickBot="1" x14ac:dyDescent="0.35">
      <c r="A219" s="96"/>
      <c r="B219" s="96"/>
      <c r="C219" s="18"/>
      <c r="D219" s="17"/>
      <c r="E219" s="17"/>
      <c r="F219" s="67"/>
      <c r="G219" s="67"/>
      <c r="H219" s="17"/>
      <c r="I219" s="17"/>
      <c r="J219" s="159"/>
      <c r="K219" s="159"/>
      <c r="L219" s="10"/>
      <c r="M219" s="10"/>
      <c r="N219" s="10"/>
      <c r="O219" s="10"/>
      <c r="P219" s="59"/>
      <c r="Q219" s="59">
        <f t="shared" si="74"/>
        <v>0</v>
      </c>
      <c r="R219" s="10"/>
      <c r="S219" s="10"/>
      <c r="T219" s="10"/>
      <c r="U219" s="10"/>
    </row>
    <row r="220" spans="1:21" ht="13.5" outlineLevel="1" thickBot="1" x14ac:dyDescent="0.35">
      <c r="A220" s="96"/>
      <c r="B220" s="96"/>
      <c r="C220" s="23" t="s">
        <v>96</v>
      </c>
      <c r="D220" s="22"/>
      <c r="E220" s="208"/>
      <c r="F220" s="209"/>
      <c r="G220" s="69"/>
      <c r="H220" s="178"/>
      <c r="I220" s="178"/>
      <c r="J220" s="157"/>
      <c r="K220" s="157"/>
      <c r="L220" s="20"/>
      <c r="M220" s="20"/>
      <c r="N220" s="20"/>
      <c r="O220" s="19"/>
      <c r="P220" s="59"/>
      <c r="Q220" s="59">
        <f t="shared" ref="Q220:Q221" si="97">+J220-L220-M220-N220</f>
        <v>0</v>
      </c>
      <c r="R220" s="21"/>
      <c r="S220" s="20"/>
      <c r="T220" s="20"/>
      <c r="U220" s="19"/>
    </row>
    <row r="221" spans="1:21" outlineLevel="1" x14ac:dyDescent="0.3">
      <c r="A221" s="96"/>
      <c r="B221" s="96"/>
      <c r="C221" s="18"/>
      <c r="D221" s="10"/>
      <c r="E221" s="10"/>
      <c r="F221" s="68"/>
      <c r="G221" s="68"/>
      <c r="H221" s="10"/>
      <c r="I221" s="10"/>
      <c r="J221" s="159"/>
      <c r="K221" s="159"/>
      <c r="L221" s="10"/>
      <c r="M221" s="10"/>
      <c r="N221" s="10"/>
      <c r="O221" s="10"/>
      <c r="P221" s="59"/>
      <c r="Q221" s="59">
        <f t="shared" si="97"/>
        <v>0</v>
      </c>
      <c r="R221" s="10"/>
      <c r="S221" s="10"/>
      <c r="T221" s="10"/>
      <c r="U221" s="10"/>
    </row>
    <row r="222" spans="1:21" outlineLevel="1" x14ac:dyDescent="0.3">
      <c r="A222" s="96"/>
      <c r="B222" s="96"/>
      <c r="C222" s="36" t="s">
        <v>97</v>
      </c>
      <c r="D222" s="36"/>
      <c r="E222" s="205"/>
      <c r="F222" s="205"/>
      <c r="G222" s="36">
        <f t="shared" ref="G222:O222" si="98">SUM(G226:G226)</f>
        <v>0</v>
      </c>
      <c r="H222" s="36">
        <f>SUM(H223:H228)</f>
        <v>18000</v>
      </c>
      <c r="I222" s="36">
        <f t="shared" si="98"/>
        <v>0</v>
      </c>
      <c r="J222" s="36">
        <f>SUM(J223:J228)</f>
        <v>163541.21238552115</v>
      </c>
      <c r="K222" s="36">
        <f t="shared" si="98"/>
        <v>0</v>
      </c>
      <c r="L222" s="36">
        <f t="shared" si="98"/>
        <v>0</v>
      </c>
      <c r="M222" s="36">
        <f>SUM(M223:M228)</f>
        <v>163541.21238552115</v>
      </c>
      <c r="N222" s="36">
        <f t="shared" si="98"/>
        <v>0</v>
      </c>
      <c r="O222" s="36">
        <f t="shared" si="98"/>
        <v>0</v>
      </c>
      <c r="P222" s="59"/>
      <c r="Q222" s="59">
        <f t="shared" si="74"/>
        <v>0</v>
      </c>
      <c r="R222" s="15"/>
      <c r="S222" s="15"/>
      <c r="T222" s="15"/>
      <c r="U222" s="15"/>
    </row>
    <row r="223" spans="1:21" outlineLevel="1" x14ac:dyDescent="0.3">
      <c r="A223" s="96" t="s">
        <v>173</v>
      </c>
      <c r="B223" s="96"/>
      <c r="C223" s="14" t="s">
        <v>98</v>
      </c>
      <c r="D223" s="15" t="s">
        <v>8</v>
      </c>
      <c r="E223" s="202">
        <v>4000</v>
      </c>
      <c r="F223" s="66">
        <v>1</v>
      </c>
      <c r="G223" s="66"/>
      <c r="H223" s="173">
        <f t="shared" ref="H223:H228" si="99">F223*E223</f>
        <v>4000</v>
      </c>
      <c r="I223" s="173"/>
      <c r="J223" s="139">
        <f t="shared" ref="J223:J228" si="100">H223/$J$6</f>
        <v>36342.491641226923</v>
      </c>
      <c r="K223" s="139"/>
      <c r="L223" s="12"/>
      <c r="M223" s="12">
        <f t="shared" ref="M223:M228" si="101">J223</f>
        <v>36342.491641226923</v>
      </c>
      <c r="N223" s="12"/>
      <c r="O223" s="12"/>
      <c r="P223" s="59"/>
      <c r="Q223" s="59"/>
      <c r="R223" s="11"/>
      <c r="S223" s="11"/>
      <c r="T223" s="11"/>
      <c r="U223" s="11"/>
    </row>
    <row r="224" spans="1:21" outlineLevel="1" x14ac:dyDescent="0.3">
      <c r="A224" s="96" t="s">
        <v>173</v>
      </c>
      <c r="B224" s="96"/>
      <c r="C224" s="14" t="s">
        <v>99</v>
      </c>
      <c r="D224" s="34" t="s">
        <v>9</v>
      </c>
      <c r="E224" s="202">
        <v>2500</v>
      </c>
      <c r="F224" s="66">
        <v>1</v>
      </c>
      <c r="G224" s="66"/>
      <c r="H224" s="173">
        <f t="shared" si="99"/>
        <v>2500</v>
      </c>
      <c r="I224" s="173"/>
      <c r="J224" s="139">
        <f t="shared" si="100"/>
        <v>22714.057275766827</v>
      </c>
      <c r="K224" s="139"/>
      <c r="L224" s="12"/>
      <c r="M224" s="12">
        <f t="shared" si="101"/>
        <v>22714.057275766827</v>
      </c>
      <c r="N224" s="12"/>
      <c r="O224" s="12"/>
      <c r="P224" s="59"/>
      <c r="Q224" s="59"/>
      <c r="R224" s="11"/>
      <c r="S224" s="11"/>
      <c r="T224" s="11"/>
      <c r="U224" s="11"/>
    </row>
    <row r="225" spans="1:21" outlineLevel="1" x14ac:dyDescent="0.3">
      <c r="A225" s="96" t="s">
        <v>173</v>
      </c>
      <c r="B225" s="96"/>
      <c r="C225" s="14" t="s">
        <v>100</v>
      </c>
      <c r="D225" s="15" t="s">
        <v>8</v>
      </c>
      <c r="E225" s="202">
        <v>500</v>
      </c>
      <c r="F225" s="66">
        <v>4</v>
      </c>
      <c r="G225" s="66"/>
      <c r="H225" s="173">
        <f t="shared" si="99"/>
        <v>2000</v>
      </c>
      <c r="I225" s="173"/>
      <c r="J225" s="139">
        <f t="shared" si="100"/>
        <v>18171.245820613462</v>
      </c>
      <c r="K225" s="139"/>
      <c r="L225" s="12"/>
      <c r="M225" s="12">
        <f t="shared" si="101"/>
        <v>18171.245820613462</v>
      </c>
      <c r="N225" s="12"/>
      <c r="O225" s="12"/>
      <c r="P225" s="59"/>
      <c r="Q225" s="59"/>
      <c r="R225" s="11"/>
      <c r="S225" s="11"/>
      <c r="T225" s="11"/>
      <c r="U225" s="11"/>
    </row>
    <row r="226" spans="1:21" outlineLevel="1" x14ac:dyDescent="0.3">
      <c r="A226" s="96" t="s">
        <v>173</v>
      </c>
      <c r="B226" s="96"/>
      <c r="C226" s="14" t="s">
        <v>101</v>
      </c>
      <c r="D226" s="15" t="s">
        <v>8</v>
      </c>
      <c r="E226" s="202">
        <v>4000</v>
      </c>
      <c r="F226" s="66">
        <v>1</v>
      </c>
      <c r="G226" s="66"/>
      <c r="H226" s="173">
        <f t="shared" si="99"/>
        <v>4000</v>
      </c>
      <c r="I226" s="173"/>
      <c r="J226" s="139">
        <f t="shared" si="100"/>
        <v>36342.491641226923</v>
      </c>
      <c r="K226" s="139"/>
      <c r="L226" s="12"/>
      <c r="M226" s="12">
        <f t="shared" si="101"/>
        <v>36342.491641226923</v>
      </c>
      <c r="N226" s="12"/>
      <c r="O226" s="12"/>
      <c r="P226" s="59"/>
      <c r="Q226" s="59"/>
      <c r="R226" s="11"/>
      <c r="S226" s="11"/>
      <c r="T226" s="11"/>
      <c r="U226" s="11"/>
    </row>
    <row r="227" spans="1:21" outlineLevel="1" x14ac:dyDescent="0.3">
      <c r="A227" s="96" t="s">
        <v>173</v>
      </c>
      <c r="B227" s="96"/>
      <c r="C227" s="14" t="s">
        <v>102</v>
      </c>
      <c r="D227" s="15" t="s">
        <v>8</v>
      </c>
      <c r="E227" s="202">
        <v>4000</v>
      </c>
      <c r="F227" s="66">
        <v>1</v>
      </c>
      <c r="G227" s="66"/>
      <c r="H227" s="173">
        <f t="shared" si="99"/>
        <v>4000</v>
      </c>
      <c r="I227" s="173"/>
      <c r="J227" s="139">
        <f t="shared" si="100"/>
        <v>36342.491641226923</v>
      </c>
      <c r="K227" s="139"/>
      <c r="L227" s="12"/>
      <c r="M227" s="12">
        <f t="shared" si="101"/>
        <v>36342.491641226923</v>
      </c>
      <c r="N227" s="12"/>
      <c r="O227" s="12"/>
      <c r="P227" s="59"/>
      <c r="Q227" s="59"/>
      <c r="R227" s="11"/>
      <c r="S227" s="11"/>
      <c r="T227" s="11"/>
      <c r="U227" s="11"/>
    </row>
    <row r="228" spans="1:21" outlineLevel="1" x14ac:dyDescent="0.3">
      <c r="A228" s="96" t="s">
        <v>173</v>
      </c>
      <c r="B228" s="96"/>
      <c r="C228" s="14" t="s">
        <v>103</v>
      </c>
      <c r="D228" s="198" t="s">
        <v>8</v>
      </c>
      <c r="E228" s="202">
        <v>1500</v>
      </c>
      <c r="F228" s="60">
        <v>1</v>
      </c>
      <c r="G228" s="66"/>
      <c r="H228" s="173">
        <f t="shared" si="99"/>
        <v>1500</v>
      </c>
      <c r="I228" s="173"/>
      <c r="J228" s="139">
        <f t="shared" si="100"/>
        <v>13628.434365460096</v>
      </c>
      <c r="K228" s="139"/>
      <c r="L228" s="12"/>
      <c r="M228" s="12">
        <f t="shared" si="101"/>
        <v>13628.434365460096</v>
      </c>
      <c r="N228" s="12"/>
      <c r="O228" s="12"/>
      <c r="P228" s="59"/>
      <c r="Q228" s="59"/>
      <c r="R228" s="11"/>
      <c r="S228" s="11"/>
      <c r="T228" s="11"/>
      <c r="U228" s="11"/>
    </row>
    <row r="229" spans="1:21" ht="13.5" outlineLevel="1" thickBot="1" x14ac:dyDescent="0.35">
      <c r="A229" s="96"/>
      <c r="B229" s="96"/>
      <c r="C229" s="30"/>
      <c r="D229" s="29"/>
      <c r="E229" s="29"/>
      <c r="F229" s="63"/>
      <c r="G229" s="63"/>
      <c r="H229" s="29"/>
      <c r="I229" s="29"/>
      <c r="K229" s="156"/>
      <c r="P229" s="59"/>
      <c r="Q229" s="59">
        <f t="shared" si="74"/>
        <v>0</v>
      </c>
      <c r="R229" s="2"/>
      <c r="S229" s="2"/>
      <c r="T229" s="2"/>
      <c r="U229" s="2"/>
    </row>
    <row r="230" spans="1:21" ht="13.5" thickBot="1" x14ac:dyDescent="0.35">
      <c r="A230" s="96"/>
      <c r="B230" s="96"/>
      <c r="C230" s="106" t="s">
        <v>104</v>
      </c>
      <c r="D230" s="107"/>
      <c r="E230" s="206"/>
      <c r="F230" s="207"/>
      <c r="G230" s="108">
        <f t="shared" ref="G230:N230" si="102">+G222</f>
        <v>0</v>
      </c>
      <c r="H230" s="108">
        <f t="shared" si="102"/>
        <v>18000</v>
      </c>
      <c r="I230" s="108">
        <f t="shared" si="102"/>
        <v>0</v>
      </c>
      <c r="J230" s="108">
        <f t="shared" si="102"/>
        <v>163541.21238552115</v>
      </c>
      <c r="K230" s="108">
        <f t="shared" si="102"/>
        <v>0</v>
      </c>
      <c r="L230" s="108">
        <f t="shared" si="102"/>
        <v>0</v>
      </c>
      <c r="M230" s="108">
        <f t="shared" si="102"/>
        <v>163541.21238552115</v>
      </c>
      <c r="N230" s="108">
        <f t="shared" si="102"/>
        <v>0</v>
      </c>
      <c r="O230" s="108"/>
      <c r="P230" s="59"/>
      <c r="Q230" s="59">
        <f t="shared" si="74"/>
        <v>0</v>
      </c>
      <c r="R230" s="5"/>
      <c r="S230" s="4"/>
      <c r="T230" s="4"/>
      <c r="U230" s="4"/>
    </row>
    <row r="231" spans="1:21" ht="13.5" thickBot="1" x14ac:dyDescent="0.35">
      <c r="A231" s="96"/>
      <c r="B231" s="96"/>
      <c r="C231" s="7"/>
      <c r="D231" s="6"/>
      <c r="E231" s="10"/>
      <c r="F231" s="68"/>
      <c r="G231" s="65"/>
      <c r="H231" s="6"/>
      <c r="I231" s="6"/>
      <c r="J231" s="163"/>
      <c r="K231" s="163"/>
      <c r="L231" s="6"/>
      <c r="M231" s="6"/>
      <c r="N231" s="6"/>
      <c r="O231" s="6"/>
      <c r="P231" s="59"/>
      <c r="Q231" s="59">
        <f t="shared" si="74"/>
        <v>0</v>
      </c>
      <c r="R231" s="6"/>
      <c r="S231" s="6"/>
      <c r="T231" s="6"/>
      <c r="U231" s="6"/>
    </row>
    <row r="232" spans="1:21" ht="13.5" outlineLevel="1" thickBot="1" x14ac:dyDescent="0.35">
      <c r="A232" s="96"/>
      <c r="B232" s="96"/>
      <c r="C232" s="23" t="s">
        <v>231</v>
      </c>
      <c r="D232" s="22"/>
      <c r="E232" s="208"/>
      <c r="F232" s="209"/>
      <c r="G232" s="69"/>
      <c r="H232" s="178"/>
      <c r="I232" s="178"/>
      <c r="J232" s="157"/>
      <c r="K232" s="157"/>
      <c r="L232" s="20"/>
      <c r="M232" s="20"/>
      <c r="N232" s="20"/>
      <c r="O232" s="19"/>
      <c r="P232" s="59"/>
      <c r="Q232" s="59">
        <f t="shared" si="74"/>
        <v>0</v>
      </c>
      <c r="R232" s="21"/>
      <c r="S232" s="20"/>
      <c r="T232" s="20"/>
      <c r="U232" s="19"/>
    </row>
    <row r="233" spans="1:21" outlineLevel="1" x14ac:dyDescent="0.3">
      <c r="A233" s="96"/>
      <c r="B233" s="96"/>
      <c r="C233" s="18"/>
      <c r="D233" s="10"/>
      <c r="E233" s="10"/>
      <c r="F233" s="68"/>
      <c r="G233" s="68"/>
      <c r="H233" s="10"/>
      <c r="I233" s="10"/>
      <c r="J233" s="159"/>
      <c r="K233" s="159"/>
      <c r="L233" s="10"/>
      <c r="M233" s="10"/>
      <c r="N233" s="10"/>
      <c r="O233" s="10"/>
      <c r="P233" s="59"/>
      <c r="Q233" s="59">
        <f t="shared" si="74"/>
        <v>0</v>
      </c>
      <c r="R233" s="10"/>
      <c r="S233" s="10"/>
      <c r="T233" s="10"/>
      <c r="U233" s="10"/>
    </row>
    <row r="234" spans="1:21" outlineLevel="1" x14ac:dyDescent="0.3">
      <c r="A234" s="96"/>
      <c r="B234" s="96"/>
      <c r="C234" s="36" t="s">
        <v>231</v>
      </c>
      <c r="D234" s="36"/>
      <c r="E234" s="205"/>
      <c r="F234" s="205"/>
      <c r="G234" s="36">
        <f t="shared" ref="G234:N234" si="103">SUM(G235:G235)</f>
        <v>0</v>
      </c>
      <c r="H234" s="36">
        <f t="shared" si="103"/>
        <v>0</v>
      </c>
      <c r="I234" s="36">
        <f t="shared" si="103"/>
        <v>0</v>
      </c>
      <c r="J234" s="158">
        <f t="shared" si="103"/>
        <v>0</v>
      </c>
      <c r="K234" s="158">
        <f t="shared" si="103"/>
        <v>0</v>
      </c>
      <c r="L234" s="16">
        <f t="shared" si="103"/>
        <v>0</v>
      </c>
      <c r="M234" s="16">
        <f t="shared" si="103"/>
        <v>0</v>
      </c>
      <c r="N234" s="16">
        <f t="shared" si="103"/>
        <v>0</v>
      </c>
      <c r="O234" s="16"/>
      <c r="P234" s="59"/>
      <c r="Q234" s="59">
        <f t="shared" ref="Q234:Q247" si="104">+J234-L234-M234-N234</f>
        <v>0</v>
      </c>
      <c r="R234" s="15"/>
      <c r="S234" s="15"/>
      <c r="T234" s="15"/>
      <c r="U234" s="15"/>
    </row>
    <row r="235" spans="1:21" outlineLevel="1" x14ac:dyDescent="0.3">
      <c r="A235" s="96"/>
      <c r="B235" s="96"/>
      <c r="C235" s="14"/>
      <c r="D235" s="15"/>
      <c r="E235" s="202"/>
      <c r="F235" s="60"/>
      <c r="G235" s="66"/>
      <c r="H235" s="173">
        <f>F235*E235</f>
        <v>0</v>
      </c>
      <c r="I235" s="173"/>
      <c r="J235" s="139">
        <f t="shared" ref="J235" si="105">H235/$J$6</f>
        <v>0</v>
      </c>
      <c r="K235" s="139">
        <f t="shared" ref="K235" si="106">+I235*$K$6</f>
        <v>0</v>
      </c>
      <c r="L235" s="12"/>
      <c r="M235" s="12">
        <f t="shared" ref="M235" si="107">J235</f>
        <v>0</v>
      </c>
      <c r="N235" s="12"/>
      <c r="O235" s="12"/>
      <c r="P235" s="59"/>
      <c r="Q235" s="59">
        <f t="shared" si="104"/>
        <v>0</v>
      </c>
      <c r="R235" s="11"/>
      <c r="S235" s="11"/>
      <c r="T235" s="11"/>
      <c r="U235" s="11"/>
    </row>
    <row r="236" spans="1:21" ht="13.5" outlineLevel="1" thickBot="1" x14ac:dyDescent="0.35">
      <c r="A236" s="96"/>
      <c r="B236" s="96"/>
      <c r="C236" s="102"/>
      <c r="D236" s="103"/>
      <c r="E236" s="103"/>
      <c r="F236" s="104"/>
      <c r="G236" s="63"/>
      <c r="H236" s="29"/>
      <c r="I236" s="29"/>
      <c r="K236" s="156"/>
      <c r="L236" s="105"/>
      <c r="M236" s="105"/>
      <c r="N236" s="105"/>
      <c r="O236" s="10"/>
      <c r="P236" s="59"/>
      <c r="Q236" s="59"/>
      <c r="R236" s="10"/>
      <c r="S236" s="10"/>
      <c r="T236" s="10"/>
      <c r="U236" s="10"/>
    </row>
    <row r="237" spans="1:21" ht="13.5" thickBot="1" x14ac:dyDescent="0.35">
      <c r="A237" s="96"/>
      <c r="B237" s="96"/>
      <c r="C237" s="106" t="s">
        <v>232</v>
      </c>
      <c r="D237" s="107"/>
      <c r="E237" s="206"/>
      <c r="F237" s="207"/>
      <c r="G237" s="108">
        <f t="shared" ref="G237:M237" si="108">G234</f>
        <v>0</v>
      </c>
      <c r="H237" s="108">
        <f t="shared" si="108"/>
        <v>0</v>
      </c>
      <c r="I237" s="108">
        <f t="shared" si="108"/>
        <v>0</v>
      </c>
      <c r="J237" s="108">
        <f t="shared" si="108"/>
        <v>0</v>
      </c>
      <c r="K237" s="108">
        <f t="shared" si="108"/>
        <v>0</v>
      </c>
      <c r="L237" s="108">
        <f t="shared" si="108"/>
        <v>0</v>
      </c>
      <c r="M237" s="108">
        <f t="shared" si="108"/>
        <v>0</v>
      </c>
      <c r="N237" s="108">
        <f>+N234+N222</f>
        <v>0</v>
      </c>
      <c r="O237" s="108"/>
      <c r="P237" s="59"/>
      <c r="Q237" s="59">
        <f t="shared" ref="Q237" si="109">+J237-L237-M237-N237</f>
        <v>0</v>
      </c>
      <c r="R237" s="5"/>
      <c r="S237" s="4"/>
      <c r="T237" s="4"/>
      <c r="U237" s="4"/>
    </row>
    <row r="238" spans="1:21" ht="13.5" thickBot="1" x14ac:dyDescent="0.35">
      <c r="A238" s="96"/>
      <c r="B238" s="96"/>
      <c r="C238" s="7"/>
      <c r="D238" s="6"/>
      <c r="E238" s="10"/>
      <c r="F238" s="68"/>
      <c r="G238" s="65"/>
      <c r="H238" s="6"/>
      <c r="I238" s="6"/>
      <c r="J238" s="163"/>
      <c r="K238" s="163"/>
      <c r="L238" s="6"/>
      <c r="M238" s="6"/>
      <c r="N238" s="6"/>
      <c r="O238" s="6"/>
      <c r="P238" s="59"/>
      <c r="Q238" s="59"/>
      <c r="R238" s="6"/>
      <c r="S238" s="6"/>
      <c r="T238" s="6"/>
      <c r="U238" s="6"/>
    </row>
    <row r="239" spans="1:21" ht="13.5" outlineLevel="1" thickBot="1" x14ac:dyDescent="0.35">
      <c r="A239" s="96"/>
      <c r="B239" s="96"/>
      <c r="C239" s="23" t="s">
        <v>105</v>
      </c>
      <c r="D239" s="22"/>
      <c r="E239" s="208"/>
      <c r="F239" s="209"/>
      <c r="G239" s="69"/>
      <c r="H239" s="178"/>
      <c r="I239" s="178"/>
      <c r="J239" s="157"/>
      <c r="K239" s="157"/>
      <c r="L239" s="20"/>
      <c r="M239" s="20"/>
      <c r="N239" s="20"/>
      <c r="O239" s="19"/>
      <c r="P239" s="59"/>
      <c r="Q239" s="59">
        <f t="shared" ref="Q239:Q242" si="110">+J239-L239-M239-N239</f>
        <v>0</v>
      </c>
      <c r="R239" s="21"/>
      <c r="S239" s="20"/>
      <c r="T239" s="20"/>
      <c r="U239" s="19"/>
    </row>
    <row r="240" spans="1:21" outlineLevel="1" x14ac:dyDescent="0.3">
      <c r="A240" s="96"/>
      <c r="B240" s="96"/>
      <c r="C240" s="18"/>
      <c r="D240" s="10"/>
      <c r="E240" s="10"/>
      <c r="F240" s="68"/>
      <c r="G240" s="68"/>
      <c r="H240" s="10"/>
      <c r="I240" s="10"/>
      <c r="J240" s="159"/>
      <c r="K240" s="159"/>
      <c r="L240" s="10"/>
      <c r="M240" s="10"/>
      <c r="N240" s="10"/>
      <c r="O240" s="10"/>
      <c r="P240" s="59"/>
      <c r="Q240" s="59">
        <f t="shared" si="110"/>
        <v>0</v>
      </c>
      <c r="R240" s="10"/>
      <c r="S240" s="10"/>
      <c r="T240" s="10"/>
      <c r="U240" s="10"/>
    </row>
    <row r="241" spans="1:21" outlineLevel="1" x14ac:dyDescent="0.3">
      <c r="A241" s="96"/>
      <c r="B241" s="96"/>
      <c r="C241" s="36" t="s">
        <v>105</v>
      </c>
      <c r="D241" s="36"/>
      <c r="E241" s="205"/>
      <c r="F241" s="205"/>
      <c r="G241" s="36">
        <f t="shared" ref="G241:N241" si="111">SUM(G242:G242)</f>
        <v>0</v>
      </c>
      <c r="H241" s="36" cm="1">
        <f t="array" aca="1" ref="H241" ca="1">SUM(H2+H242:H29242)</f>
        <v>0</v>
      </c>
      <c r="I241" s="36">
        <f t="shared" si="111"/>
        <v>0</v>
      </c>
      <c r="J241" s="158">
        <f t="shared" si="111"/>
        <v>18171.245820613462</v>
      </c>
      <c r="K241" s="158">
        <f t="shared" si="111"/>
        <v>0</v>
      </c>
      <c r="L241" s="16">
        <f t="shared" si="111"/>
        <v>0</v>
      </c>
      <c r="M241" s="16">
        <f t="shared" si="111"/>
        <v>18171.245820613462</v>
      </c>
      <c r="N241" s="16">
        <f t="shared" si="111"/>
        <v>0</v>
      </c>
      <c r="O241" s="16"/>
      <c r="P241" s="59"/>
      <c r="Q241" s="59">
        <f t="shared" si="110"/>
        <v>0</v>
      </c>
      <c r="R241" s="15"/>
      <c r="S241" s="15"/>
      <c r="T241" s="15"/>
      <c r="U241" s="15"/>
    </row>
    <row r="242" spans="1:21" outlineLevel="1" x14ac:dyDescent="0.3">
      <c r="A242" s="96" t="s">
        <v>173</v>
      </c>
      <c r="B242" s="96"/>
      <c r="C242" s="14" t="s">
        <v>106</v>
      </c>
      <c r="D242" s="15" t="s">
        <v>8</v>
      </c>
      <c r="E242" s="202">
        <v>2000</v>
      </c>
      <c r="F242" s="66">
        <v>1</v>
      </c>
      <c r="G242" s="66"/>
      <c r="H242" s="173">
        <f>F242*E242</f>
        <v>2000</v>
      </c>
      <c r="I242" s="173"/>
      <c r="J242" s="139">
        <f>H242/J6</f>
        <v>18171.245820613462</v>
      </c>
      <c r="K242" s="139">
        <f t="shared" ref="K242" si="112">+I242*$K$6</f>
        <v>0</v>
      </c>
      <c r="L242" s="12"/>
      <c r="M242" s="12">
        <f>J242</f>
        <v>18171.245820613462</v>
      </c>
      <c r="N242" s="12"/>
      <c r="O242" s="12"/>
      <c r="P242" s="59"/>
      <c r="Q242" s="59">
        <f t="shared" si="110"/>
        <v>0</v>
      </c>
      <c r="R242" s="11"/>
      <c r="S242" s="11"/>
      <c r="T242" s="11"/>
      <c r="U242" s="11"/>
    </row>
    <row r="243" spans="1:21" ht="13.5" outlineLevel="1" thickBot="1" x14ac:dyDescent="0.35">
      <c r="A243" s="96"/>
      <c r="B243" s="96"/>
      <c r="C243" s="102"/>
      <c r="D243" s="103"/>
      <c r="E243" s="103"/>
      <c r="F243" s="104"/>
      <c r="G243" s="63"/>
      <c r="H243" s="29"/>
      <c r="I243" s="29"/>
      <c r="K243" s="156"/>
      <c r="L243" s="105"/>
      <c r="M243" s="105"/>
      <c r="N243" s="105"/>
      <c r="O243" s="10"/>
      <c r="P243" s="59"/>
      <c r="Q243" s="59"/>
      <c r="R243" s="10"/>
      <c r="S243" s="10"/>
      <c r="T243" s="10"/>
      <c r="U243" s="10"/>
    </row>
    <row r="244" spans="1:21" ht="13.5" thickBot="1" x14ac:dyDescent="0.35">
      <c r="A244" s="96"/>
      <c r="B244" s="96"/>
      <c r="C244" s="106" t="s">
        <v>107</v>
      </c>
      <c r="D244" s="107"/>
      <c r="E244" s="206"/>
      <c r="F244" s="207"/>
      <c r="G244" s="108">
        <f>G241</f>
        <v>0</v>
      </c>
      <c r="H244" s="108">
        <f ca="1">H241</f>
        <v>2000</v>
      </c>
      <c r="I244" s="108">
        <f>I241</f>
        <v>0</v>
      </c>
      <c r="J244" s="108">
        <f>J241</f>
        <v>18171.245820613462</v>
      </c>
      <c r="K244" s="108">
        <f>K241</f>
        <v>0</v>
      </c>
      <c r="L244" s="108">
        <f>+L241+L234</f>
        <v>0</v>
      </c>
      <c r="M244" s="108">
        <f>+M241</f>
        <v>18171.245820613462</v>
      </c>
      <c r="N244" s="108">
        <f>+N241+N234</f>
        <v>0</v>
      </c>
      <c r="O244" s="108"/>
      <c r="P244" s="59"/>
      <c r="Q244" s="59">
        <f t="shared" ref="Q244" si="113">+J244-L244-M244-N244</f>
        <v>0</v>
      </c>
      <c r="R244" s="5"/>
      <c r="S244" s="4"/>
      <c r="T244" s="4"/>
      <c r="U244" s="4"/>
    </row>
    <row r="245" spans="1:21" ht="13.5" thickBot="1" x14ac:dyDescent="0.35">
      <c r="A245" s="96"/>
      <c r="B245" s="96"/>
      <c r="H245" s="2"/>
      <c r="I245" s="2"/>
      <c r="K245" s="156"/>
      <c r="P245" s="59"/>
      <c r="Q245" s="59"/>
    </row>
    <row r="246" spans="1:21" s="26" customFormat="1" ht="13.5" thickBot="1" x14ac:dyDescent="0.35">
      <c r="A246" s="96"/>
      <c r="B246" s="96"/>
      <c r="C246" s="110" t="s">
        <v>108</v>
      </c>
      <c r="D246" s="110"/>
      <c r="E246" s="210"/>
      <c r="F246" s="211"/>
      <c r="G246" s="112">
        <f t="shared" ref="G246:N246" si="114">+G237+G230+G218+G206+G194+G244</f>
        <v>0</v>
      </c>
      <c r="H246" s="112">
        <f t="shared" ca="1" si="114"/>
        <v>123878.784224</v>
      </c>
      <c r="I246" s="112">
        <f t="shared" si="114"/>
        <v>0</v>
      </c>
      <c r="J246" s="112">
        <f t="shared" si="114"/>
        <v>1125515.9200465186</v>
      </c>
      <c r="K246" s="112">
        <f t="shared" si="114"/>
        <v>0</v>
      </c>
      <c r="L246" s="112">
        <f t="shared" si="114"/>
        <v>0</v>
      </c>
      <c r="M246" s="112">
        <f t="shared" si="114"/>
        <v>1125515.9200465186</v>
      </c>
      <c r="N246" s="112">
        <f t="shared" si="114"/>
        <v>0</v>
      </c>
      <c r="O246" s="112">
        <f>+O237+O230+O218+O206+O194</f>
        <v>0</v>
      </c>
      <c r="P246" s="59"/>
      <c r="Q246" s="59">
        <f>+J246-L246-M246-N246</f>
        <v>0</v>
      </c>
      <c r="R246" s="9"/>
      <c r="S246" s="8"/>
      <c r="T246" s="8"/>
      <c r="U246" s="8"/>
    </row>
    <row r="247" spans="1:21" ht="13.5" outlineLevel="1" thickBot="1" x14ac:dyDescent="0.35">
      <c r="A247" s="96"/>
      <c r="B247" s="96"/>
      <c r="C247" s="30"/>
      <c r="D247" s="29"/>
      <c r="E247" s="29"/>
      <c r="F247" s="63"/>
      <c r="G247" s="63"/>
      <c r="H247" s="29"/>
      <c r="I247" s="29"/>
      <c r="J247" s="171"/>
      <c r="K247" s="156"/>
      <c r="P247" s="59"/>
      <c r="Q247" s="59">
        <f t="shared" si="104"/>
        <v>0</v>
      </c>
      <c r="R247" s="2"/>
      <c r="S247" s="2"/>
      <c r="T247" s="2"/>
      <c r="U247" s="2"/>
    </row>
    <row r="248" spans="1:21" s="26" customFormat="1" ht="13.5" thickBot="1" x14ac:dyDescent="0.35">
      <c r="A248" s="96"/>
      <c r="B248" s="96"/>
      <c r="C248" s="124" t="s">
        <v>109</v>
      </c>
      <c r="D248" s="125"/>
      <c r="E248" s="212"/>
      <c r="F248" s="213"/>
      <c r="G248" s="126"/>
      <c r="H248" s="181"/>
      <c r="I248" s="181"/>
      <c r="J248" s="165"/>
      <c r="K248" s="165"/>
      <c r="L248" s="127"/>
      <c r="M248" s="127"/>
      <c r="N248" s="127"/>
      <c r="O248" s="62"/>
      <c r="P248" s="59"/>
      <c r="Q248" s="59">
        <f>+J248-L248-M248-N248</f>
        <v>0</v>
      </c>
      <c r="R248" s="9"/>
      <c r="S248" s="8"/>
      <c r="T248" s="8"/>
      <c r="U248" s="8"/>
    </row>
    <row r="249" spans="1:21" s="26" customFormat="1" x14ac:dyDescent="0.3">
      <c r="A249" s="96"/>
      <c r="B249" s="96"/>
      <c r="C249" s="7"/>
      <c r="D249" s="7"/>
      <c r="E249" s="18"/>
      <c r="F249" s="214"/>
      <c r="G249" s="64"/>
      <c r="H249" s="182"/>
      <c r="I249" s="182"/>
      <c r="J249" s="163"/>
      <c r="K249" s="163"/>
      <c r="L249" s="6"/>
      <c r="M249" s="6"/>
      <c r="N249" s="6"/>
      <c r="O249" s="6"/>
      <c r="P249" s="59"/>
      <c r="Q249" s="59">
        <f>+J249-L249-M249-N249</f>
        <v>0</v>
      </c>
      <c r="R249" s="6"/>
      <c r="S249" s="6"/>
      <c r="T249" s="6"/>
      <c r="U249" s="6"/>
    </row>
    <row r="250" spans="1:21" s="26" customFormat="1" outlineLevel="1" x14ac:dyDescent="0.3">
      <c r="A250" s="96"/>
      <c r="B250" s="96"/>
      <c r="C250" s="36" t="s">
        <v>110</v>
      </c>
      <c r="D250" s="36"/>
      <c r="E250" s="205"/>
      <c r="F250" s="205"/>
      <c r="G250" s="16">
        <f t="shared" ref="G250:N250" si="115">SUM(G251:G262)</f>
        <v>0</v>
      </c>
      <c r="H250" s="16">
        <f t="shared" si="115"/>
        <v>124199.51999999999</v>
      </c>
      <c r="I250" s="16">
        <f t="shared" si="115"/>
        <v>0</v>
      </c>
      <c r="J250" s="148">
        <f t="shared" si="115"/>
        <v>1128430.0043610991</v>
      </c>
      <c r="K250" s="148">
        <f t="shared" si="115"/>
        <v>0</v>
      </c>
      <c r="L250" s="16">
        <f t="shared" si="115"/>
        <v>0</v>
      </c>
      <c r="M250" s="16">
        <f t="shared" si="115"/>
        <v>1128430.0043610991</v>
      </c>
      <c r="N250" s="16">
        <f t="shared" si="115"/>
        <v>0</v>
      </c>
      <c r="O250" s="16"/>
      <c r="P250" s="59"/>
      <c r="Q250" s="59">
        <f>+J250-L250-M250-N250</f>
        <v>0</v>
      </c>
      <c r="R250" s="15"/>
      <c r="S250" s="15"/>
      <c r="T250" s="15"/>
      <c r="U250" s="15"/>
    </row>
    <row r="251" spans="1:21" s="26" customFormat="1" outlineLevel="1" x14ac:dyDescent="0.3">
      <c r="A251" s="96" t="s">
        <v>173</v>
      </c>
      <c r="B251" s="96"/>
      <c r="C251" s="61" t="s">
        <v>111</v>
      </c>
      <c r="D251" s="34" t="s">
        <v>112</v>
      </c>
      <c r="E251" s="202">
        <v>8000</v>
      </c>
      <c r="F251" s="60">
        <v>2</v>
      </c>
      <c r="G251" s="66"/>
      <c r="H251" s="173">
        <f>F251*E251</f>
        <v>16000</v>
      </c>
      <c r="I251" s="173">
        <v>0</v>
      </c>
      <c r="J251" s="139">
        <f>H251/$J$6</f>
        <v>145369.96656490769</v>
      </c>
      <c r="K251" s="139"/>
      <c r="L251" s="12"/>
      <c r="M251" s="12">
        <f t="shared" ref="M251:M262" si="116">J251</f>
        <v>145369.96656490769</v>
      </c>
      <c r="N251" s="12"/>
      <c r="O251" s="12"/>
      <c r="P251" s="59"/>
      <c r="Q251" s="59"/>
      <c r="R251" s="45"/>
      <c r="S251" s="45"/>
      <c r="T251" s="45"/>
      <c r="U251" s="45"/>
    </row>
    <row r="252" spans="1:21" s="26" customFormat="1" outlineLevel="1" x14ac:dyDescent="0.3">
      <c r="A252" s="96"/>
      <c r="B252" s="96" t="s">
        <v>160</v>
      </c>
      <c r="C252" s="61" t="s">
        <v>122</v>
      </c>
      <c r="D252" s="34" t="s">
        <v>93</v>
      </c>
      <c r="E252" s="215">
        <f>30000*0.3</f>
        <v>9000</v>
      </c>
      <c r="F252" s="60">
        <v>12</v>
      </c>
      <c r="G252" s="66"/>
      <c r="H252" s="173">
        <f>J252*$J$6</f>
        <v>11886.912</v>
      </c>
      <c r="I252" s="173">
        <v>0</v>
      </c>
      <c r="J252" s="139">
        <f>E252*F252</f>
        <v>108000</v>
      </c>
      <c r="K252" s="139"/>
      <c r="L252" s="12"/>
      <c r="M252" s="12">
        <f t="shared" si="116"/>
        <v>108000</v>
      </c>
      <c r="N252" s="12"/>
      <c r="O252" s="12"/>
      <c r="P252" s="59"/>
      <c r="Q252" s="59"/>
      <c r="R252" s="45"/>
      <c r="S252" s="45"/>
      <c r="T252" s="45"/>
      <c r="U252" s="45"/>
    </row>
    <row r="253" spans="1:21" s="26" customFormat="1" outlineLevel="1" x14ac:dyDescent="0.3">
      <c r="A253" s="96"/>
      <c r="B253" s="96" t="s">
        <v>160</v>
      </c>
      <c r="C253" s="61" t="s">
        <v>123</v>
      </c>
      <c r="D253" s="34" t="s">
        <v>93</v>
      </c>
      <c r="E253" s="215">
        <f>20000*0.3</f>
        <v>6000</v>
      </c>
      <c r="F253" s="60">
        <v>12</v>
      </c>
      <c r="G253" s="66"/>
      <c r="H253" s="173">
        <f>J253*$J$6</f>
        <v>7924.6079999999993</v>
      </c>
      <c r="I253" s="173">
        <v>0</v>
      </c>
      <c r="J253" s="139">
        <f>E253*F253</f>
        <v>72000</v>
      </c>
      <c r="K253" s="139"/>
      <c r="L253" s="12"/>
      <c r="M253" s="12">
        <f t="shared" si="116"/>
        <v>72000</v>
      </c>
      <c r="N253" s="12"/>
      <c r="O253" s="12"/>
      <c r="P253" s="59"/>
      <c r="Q253" s="59"/>
      <c r="R253" s="45"/>
      <c r="S253" s="45"/>
      <c r="T253" s="45"/>
      <c r="U253" s="45"/>
    </row>
    <row r="254" spans="1:21" s="26" customFormat="1" outlineLevel="1" x14ac:dyDescent="0.3">
      <c r="A254" s="96" t="s">
        <v>173</v>
      </c>
      <c r="B254" s="96"/>
      <c r="C254" s="61" t="s">
        <v>113</v>
      </c>
      <c r="D254" s="34" t="s">
        <v>114</v>
      </c>
      <c r="E254" s="202">
        <v>7000</v>
      </c>
      <c r="F254" s="60">
        <v>1</v>
      </c>
      <c r="G254" s="66"/>
      <c r="H254" s="173">
        <f t="shared" ref="H254:H262" si="117">F254*E254</f>
        <v>7000</v>
      </c>
      <c r="I254" s="173"/>
      <c r="J254" s="139">
        <f t="shared" ref="J254:J261" si="118">H254/$J$6</f>
        <v>63599.360372147115</v>
      </c>
      <c r="K254" s="139"/>
      <c r="L254" s="12"/>
      <c r="M254" s="12">
        <f t="shared" si="116"/>
        <v>63599.360372147115</v>
      </c>
      <c r="N254" s="12"/>
      <c r="O254" s="12"/>
      <c r="P254" s="59"/>
      <c r="Q254" s="59"/>
      <c r="R254" s="45"/>
      <c r="S254" s="45"/>
      <c r="T254" s="45"/>
      <c r="U254" s="45"/>
    </row>
    <row r="255" spans="1:21" s="26" customFormat="1" outlineLevel="1" x14ac:dyDescent="0.3">
      <c r="A255" s="96" t="s">
        <v>173</v>
      </c>
      <c r="B255" s="96"/>
      <c r="C255" s="61" t="s">
        <v>115</v>
      </c>
      <c r="D255" s="34" t="s">
        <v>114</v>
      </c>
      <c r="E255" s="202">
        <v>7000</v>
      </c>
      <c r="F255" s="60">
        <v>1</v>
      </c>
      <c r="G255" s="66"/>
      <c r="H255" s="173">
        <f t="shared" si="117"/>
        <v>7000</v>
      </c>
      <c r="I255" s="173"/>
      <c r="J255" s="139">
        <f t="shared" si="118"/>
        <v>63599.360372147115</v>
      </c>
      <c r="K255" s="139"/>
      <c r="L255" s="12"/>
      <c r="M255" s="12">
        <f t="shared" si="116"/>
        <v>63599.360372147115</v>
      </c>
      <c r="N255" s="12"/>
      <c r="O255" s="12"/>
      <c r="P255" s="59"/>
      <c r="Q255" s="59"/>
      <c r="R255" s="45"/>
      <c r="S255" s="45"/>
      <c r="T255" s="45"/>
      <c r="U255" s="45"/>
    </row>
    <row r="256" spans="1:21" s="26" customFormat="1" outlineLevel="1" x14ac:dyDescent="0.3">
      <c r="A256" s="96" t="s">
        <v>173</v>
      </c>
      <c r="B256" s="96"/>
      <c r="C256" s="61" t="s">
        <v>116</v>
      </c>
      <c r="D256" s="34" t="s">
        <v>117</v>
      </c>
      <c r="E256" s="202">
        <v>200</v>
      </c>
      <c r="F256" s="60">
        <v>24</v>
      </c>
      <c r="G256" s="66"/>
      <c r="H256" s="173">
        <f t="shared" si="117"/>
        <v>4800</v>
      </c>
      <c r="I256" s="173"/>
      <c r="J256" s="139">
        <f t="shared" si="118"/>
        <v>43610.989969472306</v>
      </c>
      <c r="K256" s="139"/>
      <c r="L256" s="12"/>
      <c r="M256" s="12">
        <f t="shared" si="116"/>
        <v>43610.989969472306</v>
      </c>
      <c r="N256" s="12"/>
      <c r="O256" s="12"/>
      <c r="P256" s="59"/>
      <c r="Q256" s="59"/>
      <c r="R256" s="45"/>
      <c r="S256" s="45"/>
      <c r="T256" s="45"/>
      <c r="U256" s="45"/>
    </row>
    <row r="257" spans="1:23" s="26" customFormat="1" outlineLevel="1" x14ac:dyDescent="0.3">
      <c r="A257" s="96" t="s">
        <v>173</v>
      </c>
      <c r="B257" s="96"/>
      <c r="C257" s="61" t="s">
        <v>118</v>
      </c>
      <c r="D257" s="34" t="s">
        <v>117</v>
      </c>
      <c r="E257" s="202">
        <v>375</v>
      </c>
      <c r="F257" s="60">
        <v>12</v>
      </c>
      <c r="G257" s="66"/>
      <c r="H257" s="173">
        <f t="shared" si="117"/>
        <v>4500</v>
      </c>
      <c r="I257" s="173"/>
      <c r="J257" s="139">
        <f t="shared" si="118"/>
        <v>40885.303096380288</v>
      </c>
      <c r="K257" s="139"/>
      <c r="L257" s="12"/>
      <c r="M257" s="12">
        <f t="shared" si="116"/>
        <v>40885.303096380288</v>
      </c>
      <c r="N257" s="12"/>
      <c r="O257" s="12"/>
      <c r="P257" s="59"/>
      <c r="Q257" s="59"/>
      <c r="R257" s="45"/>
      <c r="S257" s="45"/>
      <c r="T257" s="45"/>
      <c r="U257" s="45"/>
    </row>
    <row r="258" spans="1:23" s="26" customFormat="1" outlineLevel="1" x14ac:dyDescent="0.3">
      <c r="A258" s="96" t="s">
        <v>173</v>
      </c>
      <c r="B258" s="96"/>
      <c r="C258" s="61" t="s">
        <v>233</v>
      </c>
      <c r="D258" s="34" t="s">
        <v>117</v>
      </c>
      <c r="E258" s="202">
        <v>130</v>
      </c>
      <c r="F258" s="60">
        <v>24</v>
      </c>
      <c r="G258" s="66"/>
      <c r="H258" s="173">
        <f t="shared" si="117"/>
        <v>3120</v>
      </c>
      <c r="I258" s="173"/>
      <c r="J258" s="139">
        <f t="shared" si="118"/>
        <v>28347.143480156999</v>
      </c>
      <c r="K258" s="139"/>
      <c r="L258" s="12"/>
      <c r="M258" s="12">
        <f t="shared" si="116"/>
        <v>28347.143480156999</v>
      </c>
      <c r="N258" s="12"/>
      <c r="O258" s="12"/>
      <c r="P258" s="59"/>
      <c r="Q258" s="59"/>
      <c r="R258" s="45"/>
      <c r="S258" s="45"/>
      <c r="T258" s="45"/>
      <c r="U258" s="45"/>
    </row>
    <row r="259" spans="1:23" s="26" customFormat="1" outlineLevel="1" x14ac:dyDescent="0.3">
      <c r="A259" s="96" t="s">
        <v>173</v>
      </c>
      <c r="B259" s="96"/>
      <c r="C259" s="61" t="s">
        <v>119</v>
      </c>
      <c r="D259" s="34" t="s">
        <v>114</v>
      </c>
      <c r="E259" s="202">
        <v>700</v>
      </c>
      <c r="F259" s="60">
        <v>12</v>
      </c>
      <c r="G259" s="66"/>
      <c r="H259" s="173">
        <f t="shared" si="117"/>
        <v>8400</v>
      </c>
      <c r="I259" s="173"/>
      <c r="J259" s="139">
        <f t="shared" si="118"/>
        <v>76319.232446576541</v>
      </c>
      <c r="K259" s="139"/>
      <c r="L259" s="12"/>
      <c r="M259" s="12">
        <f t="shared" si="116"/>
        <v>76319.232446576541</v>
      </c>
      <c r="N259" s="12"/>
      <c r="O259" s="12"/>
      <c r="P259" s="59"/>
      <c r="Q259" s="59"/>
      <c r="R259" s="45"/>
      <c r="S259" s="45"/>
      <c r="T259" s="45"/>
      <c r="U259" s="45"/>
    </row>
    <row r="260" spans="1:23" s="26" customFormat="1" outlineLevel="1" x14ac:dyDescent="0.3">
      <c r="A260" s="96" t="s">
        <v>173</v>
      </c>
      <c r="B260" s="96"/>
      <c r="C260" s="61" t="s">
        <v>120</v>
      </c>
      <c r="D260" s="34" t="s">
        <v>114</v>
      </c>
      <c r="E260" s="202">
        <v>300</v>
      </c>
      <c r="F260" s="60">
        <v>4</v>
      </c>
      <c r="G260" s="66"/>
      <c r="H260" s="173">
        <f t="shared" si="117"/>
        <v>1200</v>
      </c>
      <c r="I260" s="173">
        <v>0</v>
      </c>
      <c r="J260" s="139">
        <f t="shared" si="118"/>
        <v>10902.747492368077</v>
      </c>
      <c r="K260" s="139"/>
      <c r="L260" s="12"/>
      <c r="M260" s="12">
        <f t="shared" si="116"/>
        <v>10902.747492368077</v>
      </c>
      <c r="N260" s="12"/>
      <c r="O260" s="12"/>
      <c r="P260" s="59"/>
      <c r="Q260" s="59"/>
      <c r="R260" s="45"/>
      <c r="S260" s="45"/>
      <c r="T260" s="45"/>
      <c r="U260" s="45"/>
    </row>
    <row r="261" spans="1:23" s="26" customFormat="1" outlineLevel="1" x14ac:dyDescent="0.3">
      <c r="A261" s="96" t="s">
        <v>173</v>
      </c>
      <c r="B261" s="96"/>
      <c r="C261" s="61" t="s">
        <v>121</v>
      </c>
      <c r="D261" s="34" t="s">
        <v>112</v>
      </c>
      <c r="E261" s="202">
        <v>500</v>
      </c>
      <c r="F261" s="60">
        <f>4*12</f>
        <v>48</v>
      </c>
      <c r="G261" s="66"/>
      <c r="H261" s="173">
        <f t="shared" si="117"/>
        <v>24000</v>
      </c>
      <c r="I261" s="173"/>
      <c r="J261" s="139">
        <f t="shared" si="118"/>
        <v>218054.94984736154</v>
      </c>
      <c r="K261" s="139"/>
      <c r="L261" s="12"/>
      <c r="M261" s="12">
        <f t="shared" si="116"/>
        <v>218054.94984736154</v>
      </c>
      <c r="N261" s="12"/>
      <c r="O261" s="12"/>
      <c r="P261" s="59"/>
      <c r="Q261" s="59"/>
      <c r="R261" s="45"/>
      <c r="S261" s="45"/>
      <c r="T261" s="45"/>
      <c r="U261" s="45"/>
    </row>
    <row r="262" spans="1:23" s="26" customFormat="1" outlineLevel="1" x14ac:dyDescent="0.3">
      <c r="A262" s="96"/>
      <c r="B262" s="96" t="s">
        <v>160</v>
      </c>
      <c r="C262" s="61" t="s">
        <v>234</v>
      </c>
      <c r="D262" s="15" t="s">
        <v>93</v>
      </c>
      <c r="E262" s="202">
        <f>1182</f>
        <v>1182</v>
      </c>
      <c r="F262" s="60">
        <v>24</v>
      </c>
      <c r="G262" s="66"/>
      <c r="H262" s="173">
        <f t="shared" si="117"/>
        <v>28368</v>
      </c>
      <c r="I262" s="173">
        <v>0</v>
      </c>
      <c r="J262" s="139">
        <f>F262*E262/J6</f>
        <v>257740.95071958133</v>
      </c>
      <c r="K262" s="139"/>
      <c r="L262" s="12"/>
      <c r="M262" s="12">
        <f t="shared" si="116"/>
        <v>257740.95071958133</v>
      </c>
      <c r="N262" s="12"/>
      <c r="O262" s="12"/>
      <c r="P262" s="59"/>
      <c r="Q262" s="59"/>
      <c r="R262" s="45"/>
      <c r="S262" s="45"/>
      <c r="T262" s="45"/>
      <c r="U262" s="45"/>
    </row>
    <row r="263" spans="1:23" ht="13.5" outlineLevel="1" thickBot="1" x14ac:dyDescent="0.35">
      <c r="A263" s="96"/>
      <c r="B263" s="96"/>
      <c r="C263" s="30"/>
      <c r="D263" s="29"/>
      <c r="E263" s="29"/>
      <c r="F263" s="63"/>
      <c r="G263" s="63"/>
      <c r="H263" s="29"/>
      <c r="I263" s="29"/>
      <c r="K263" s="156"/>
      <c r="P263" s="59"/>
      <c r="Q263" s="59"/>
      <c r="R263" s="2"/>
      <c r="S263" s="2"/>
      <c r="T263" s="2"/>
      <c r="U263" s="2"/>
    </row>
    <row r="264" spans="1:23" s="26" customFormat="1" ht="13.5" thickBot="1" x14ac:dyDescent="0.35">
      <c r="A264" s="96"/>
      <c r="B264" s="96"/>
      <c r="C264" s="110" t="s">
        <v>125</v>
      </c>
      <c r="D264" s="110"/>
      <c r="E264" s="110"/>
      <c r="F264" s="111"/>
      <c r="G264" s="112">
        <f t="shared" ref="G264:N264" si="119">+G250</f>
        <v>0</v>
      </c>
      <c r="H264" s="112">
        <f t="shared" si="119"/>
        <v>124199.51999999999</v>
      </c>
      <c r="I264" s="112">
        <f t="shared" si="119"/>
        <v>0</v>
      </c>
      <c r="J264" s="150">
        <f t="shared" si="119"/>
        <v>1128430.0043610991</v>
      </c>
      <c r="K264" s="150">
        <f t="shared" si="119"/>
        <v>0</v>
      </c>
      <c r="L264" s="112">
        <f t="shared" si="119"/>
        <v>0</v>
      </c>
      <c r="M264" s="112">
        <f t="shared" si="119"/>
        <v>1128430.0043610991</v>
      </c>
      <c r="N264" s="112">
        <f t="shared" si="119"/>
        <v>0</v>
      </c>
      <c r="O264" s="112"/>
      <c r="P264" s="59"/>
      <c r="Q264" s="59">
        <f>+J264-L264-M264-N264</f>
        <v>0</v>
      </c>
      <c r="R264" s="9"/>
      <c r="S264" s="8"/>
      <c r="T264" s="8"/>
      <c r="U264" s="8"/>
    </row>
    <row r="265" spans="1:23" ht="13.5" thickBot="1" x14ac:dyDescent="0.35">
      <c r="A265" s="96"/>
      <c r="B265" s="96"/>
      <c r="H265" s="2"/>
      <c r="I265" s="189"/>
      <c r="K265" s="156"/>
      <c r="P265" s="59"/>
      <c r="Q265" s="59">
        <f>+J265-L265-M265-N265</f>
        <v>0</v>
      </c>
    </row>
    <row r="266" spans="1:23" s="26" customFormat="1" ht="13.5" thickBot="1" x14ac:dyDescent="0.35">
      <c r="A266" s="96"/>
      <c r="B266" s="96"/>
      <c r="C266" s="124" t="s">
        <v>168</v>
      </c>
      <c r="D266" s="125"/>
      <c r="E266" s="125"/>
      <c r="F266" s="126"/>
      <c r="G266" s="126"/>
      <c r="H266" s="181"/>
      <c r="I266" s="181"/>
      <c r="J266" s="165"/>
      <c r="K266" s="165"/>
      <c r="L266" s="127"/>
      <c r="M266" s="127"/>
      <c r="N266" s="127"/>
      <c r="O266" s="62"/>
      <c r="P266" s="59"/>
      <c r="Q266" s="59">
        <f>+J266-L266-M266-N266</f>
        <v>0</v>
      </c>
      <c r="R266" s="9"/>
      <c r="S266" s="8"/>
      <c r="T266" s="8"/>
      <c r="U266" s="8"/>
    </row>
    <row r="267" spans="1:23" x14ac:dyDescent="0.3">
      <c r="A267" s="96"/>
      <c r="B267" s="96"/>
      <c r="H267" s="2"/>
      <c r="I267" s="2"/>
      <c r="K267" s="156"/>
      <c r="P267" s="59"/>
      <c r="Q267" s="59"/>
    </row>
    <row r="268" spans="1:23" s="26" customFormat="1" outlineLevel="1" x14ac:dyDescent="0.3">
      <c r="A268" s="96"/>
      <c r="B268" s="96"/>
      <c r="C268" s="97" t="s">
        <v>168</v>
      </c>
      <c r="D268" s="36"/>
      <c r="E268" s="36"/>
      <c r="F268" s="36"/>
      <c r="G268" s="16">
        <f t="shared" ref="G268:I268" si="120">SUM(G269:G270)</f>
        <v>0</v>
      </c>
      <c r="H268" s="16">
        <f>SUM(H269)</f>
        <v>57603.588785046777</v>
      </c>
      <c r="I268" s="16">
        <f t="shared" si="120"/>
        <v>0</v>
      </c>
      <c r="J268" s="148">
        <f>SUM(J269:J270)</f>
        <v>523364.48598130886</v>
      </c>
      <c r="K268" s="148">
        <f>SUM(K269:K270)</f>
        <v>0</v>
      </c>
      <c r="L268" s="16">
        <f>SUM(L269:L270)</f>
        <v>0</v>
      </c>
      <c r="M268" s="16">
        <f>SUM(M269:M270)</f>
        <v>523364.48598130886</v>
      </c>
      <c r="N268" s="16">
        <f>SUM(N269:N270)</f>
        <v>0</v>
      </c>
      <c r="O268" s="16"/>
      <c r="P268" s="59"/>
      <c r="Q268" s="59">
        <f>+J268-L268-M268-N268</f>
        <v>0</v>
      </c>
      <c r="R268" s="15"/>
      <c r="S268" s="15"/>
      <c r="T268" s="15"/>
      <c r="U268" s="15"/>
    </row>
    <row r="269" spans="1:23" s="26" customFormat="1" outlineLevel="1" x14ac:dyDescent="0.3">
      <c r="A269" s="96"/>
      <c r="B269" s="96" t="s">
        <v>160</v>
      </c>
      <c r="C269" s="98" t="s">
        <v>235</v>
      </c>
      <c r="D269" s="15" t="s">
        <v>236</v>
      </c>
      <c r="E269" s="13"/>
      <c r="F269" s="138">
        <v>7.0000000000000007E-2</v>
      </c>
      <c r="G269" s="66">
        <v>0</v>
      </c>
      <c r="H269" s="173">
        <f>J269*J6</f>
        <v>57603.588785046777</v>
      </c>
      <c r="I269" s="173">
        <v>0</v>
      </c>
      <c r="J269" s="139">
        <f>8000000-(8000000/1.07)</f>
        <v>523364.48598130886</v>
      </c>
      <c r="K269" s="139">
        <v>0</v>
      </c>
      <c r="L269" s="12"/>
      <c r="M269" s="12">
        <f>J269</f>
        <v>523364.48598130886</v>
      </c>
      <c r="N269" s="12"/>
      <c r="O269" s="12"/>
      <c r="P269" s="59"/>
      <c r="Q269" s="59"/>
      <c r="R269" s="45"/>
      <c r="S269" s="45"/>
      <c r="T269" s="45"/>
      <c r="U269" s="45"/>
    </row>
    <row r="270" spans="1:23" ht="13.5" outlineLevel="1" thickBot="1" x14ac:dyDescent="0.35">
      <c r="A270" s="96"/>
      <c r="B270" s="96"/>
      <c r="C270" s="30"/>
      <c r="D270" s="29"/>
      <c r="E270" s="29"/>
      <c r="F270" s="63"/>
      <c r="G270" s="63"/>
      <c r="H270" s="29"/>
      <c r="I270" s="29"/>
      <c r="K270" s="156"/>
      <c r="P270" s="59"/>
      <c r="Q270" s="59"/>
      <c r="R270" s="2"/>
      <c r="S270" s="2"/>
      <c r="T270" s="2"/>
      <c r="U270" s="2"/>
    </row>
    <row r="271" spans="1:23" s="26" customFormat="1" ht="13.5" thickBot="1" x14ac:dyDescent="0.35">
      <c r="A271" s="96"/>
      <c r="B271" s="96"/>
      <c r="C271" s="110" t="s">
        <v>237</v>
      </c>
      <c r="D271" s="110"/>
      <c r="E271" s="110"/>
      <c r="F271" s="111"/>
      <c r="G271" s="112">
        <f t="shared" ref="G271:I271" si="121">+G268</f>
        <v>0</v>
      </c>
      <c r="H271" s="112">
        <f t="shared" si="121"/>
        <v>57603.588785046777</v>
      </c>
      <c r="I271" s="112">
        <f t="shared" si="121"/>
        <v>0</v>
      </c>
      <c r="J271" s="150">
        <f>+J268</f>
        <v>523364.48598130886</v>
      </c>
      <c r="K271" s="150">
        <f>+K268</f>
        <v>0</v>
      </c>
      <c r="L271" s="112">
        <f t="shared" ref="L271:N271" si="122">+L268</f>
        <v>0</v>
      </c>
      <c r="M271" s="112">
        <f t="shared" si="122"/>
        <v>523364.48598130886</v>
      </c>
      <c r="N271" s="112">
        <f t="shared" si="122"/>
        <v>0</v>
      </c>
      <c r="O271" s="112"/>
      <c r="P271" s="59"/>
      <c r="Q271" s="59">
        <f>+J271-L271-M271-N271</f>
        <v>0</v>
      </c>
      <c r="R271" s="9"/>
      <c r="S271" s="8"/>
      <c r="T271" s="8"/>
      <c r="U271" s="8"/>
      <c r="W271" s="225"/>
    </row>
    <row r="272" spans="1:23" ht="13.5" thickBot="1" x14ac:dyDescent="0.35">
      <c r="A272" s="96"/>
      <c r="B272" s="96"/>
      <c r="H272" s="2"/>
      <c r="I272" s="188"/>
      <c r="K272" s="156"/>
      <c r="P272" s="59"/>
      <c r="Q272" s="59">
        <f t="shared" ref="Q272" si="123">+J272-L272-M272-N272</f>
        <v>0</v>
      </c>
    </row>
    <row r="273" spans="1:21" s="26" customFormat="1" ht="13.5" thickBot="1" x14ac:dyDescent="0.35">
      <c r="A273" s="96"/>
      <c r="B273" s="96"/>
      <c r="C273" s="110" t="s">
        <v>238</v>
      </c>
      <c r="D273" s="110"/>
      <c r="E273" s="110"/>
      <c r="F273" s="111"/>
      <c r="G273" s="112">
        <f>+G271+G264+G246+G179+G90+G44</f>
        <v>0</v>
      </c>
      <c r="H273" s="112">
        <f ca="1">+H271+H264+H246+H179+H90+H44+H150+H116</f>
        <v>880512.03700904676</v>
      </c>
      <c r="I273" s="112">
        <f>+I271+I264+I246+I179+I90+I44</f>
        <v>0</v>
      </c>
      <c r="J273" s="112">
        <f>+J271+J264+J246+J179+J90+J44+J150+J116</f>
        <v>8000000.3362502446</v>
      </c>
      <c r="K273" s="150">
        <f>+K271+K264+K246+K179+K90+K44</f>
        <v>0</v>
      </c>
      <c r="L273" s="112">
        <f>+L271+L264+L246+L179+L90+L44</f>
        <v>0</v>
      </c>
      <c r="M273" s="112">
        <f>+M271+M264+M246+M179+M90+M44+M150+M116</f>
        <v>8000000.3362502446</v>
      </c>
      <c r="N273" s="112">
        <f>+N271+N264+N246+N179+N90+N44</f>
        <v>0</v>
      </c>
      <c r="O273" s="112"/>
      <c r="P273" s="59"/>
      <c r="Q273" s="59">
        <f>+J273-L273-M273-N273</f>
        <v>0</v>
      </c>
      <c r="R273" s="9"/>
      <c r="S273" s="8"/>
      <c r="T273" s="8"/>
      <c r="U273" s="8"/>
    </row>
    <row r="274" spans="1:21" ht="13.5" thickBot="1" x14ac:dyDescent="0.35">
      <c r="A274" s="96"/>
      <c r="B274" s="96"/>
      <c r="C274" s="54" t="s">
        <v>239</v>
      </c>
      <c r="G274" s="58">
        <f t="shared" ref="G274:N274" si="124">+G273-G16</f>
        <v>0</v>
      </c>
      <c r="H274" s="2">
        <f t="shared" ca="1" si="124"/>
        <v>0</v>
      </c>
      <c r="I274" s="2">
        <f t="shared" si="124"/>
        <v>0</v>
      </c>
      <c r="J274" s="2">
        <f t="shared" si="124"/>
        <v>0</v>
      </c>
      <c r="K274" s="2">
        <f t="shared" si="124"/>
        <v>0</v>
      </c>
      <c r="L274" s="2">
        <f t="shared" si="124"/>
        <v>0</v>
      </c>
      <c r="M274" s="2">
        <f t="shared" si="124"/>
        <v>0</v>
      </c>
      <c r="N274" s="58">
        <f t="shared" si="124"/>
        <v>0</v>
      </c>
      <c r="P274" s="59"/>
      <c r="Q274" s="59"/>
    </row>
    <row r="275" spans="1:21" ht="13.5" collapsed="1" thickBot="1" x14ac:dyDescent="0.35">
      <c r="A275" s="96"/>
      <c r="B275" s="96"/>
      <c r="C275" s="128" t="s">
        <v>240</v>
      </c>
      <c r="D275" s="61"/>
      <c r="E275" s="61"/>
      <c r="F275" s="129"/>
      <c r="G275" s="129"/>
      <c r="H275" s="183"/>
      <c r="I275" s="183"/>
      <c r="J275" s="166">
        <f>+I275*$J$6</f>
        <v>0</v>
      </c>
      <c r="K275" s="184"/>
      <c r="L275" s="82"/>
      <c r="M275" s="82"/>
      <c r="N275" s="82"/>
      <c r="O275" s="82"/>
      <c r="P275" s="59"/>
      <c r="Q275" s="59"/>
      <c r="R275" s="5"/>
      <c r="S275" s="4"/>
      <c r="T275" s="4"/>
      <c r="U275" s="4"/>
    </row>
    <row r="276" spans="1:21" ht="13.5" collapsed="1" thickBot="1" x14ac:dyDescent="0.35">
      <c r="A276" s="96"/>
      <c r="B276" s="96"/>
      <c r="C276" s="128" t="s">
        <v>241</v>
      </c>
      <c r="D276" s="61"/>
      <c r="E276" s="61"/>
      <c r="F276" s="129"/>
      <c r="G276" s="129"/>
      <c r="H276" s="183"/>
      <c r="I276" s="183"/>
      <c r="J276" s="166">
        <f t="shared" ref="J276:J278" si="125">+I276*$J$6</f>
        <v>0</v>
      </c>
      <c r="K276" s="184"/>
      <c r="L276" s="82"/>
      <c r="M276" s="82"/>
      <c r="N276" s="82"/>
      <c r="O276" s="82"/>
      <c r="P276" s="59"/>
      <c r="Q276" s="59"/>
      <c r="R276" s="5"/>
      <c r="S276" s="4"/>
      <c r="T276" s="4"/>
      <c r="U276" s="4"/>
    </row>
    <row r="277" spans="1:21" ht="13.5" collapsed="1" thickBot="1" x14ac:dyDescent="0.35">
      <c r="A277" s="96"/>
      <c r="B277" s="96"/>
      <c r="C277" s="128" t="s">
        <v>242</v>
      </c>
      <c r="D277" s="61"/>
      <c r="E277" s="61"/>
      <c r="F277" s="129"/>
      <c r="G277" s="129"/>
      <c r="H277" s="183"/>
      <c r="I277" s="183"/>
      <c r="J277" s="166">
        <f t="shared" si="125"/>
        <v>0</v>
      </c>
      <c r="K277" s="184"/>
      <c r="L277" s="82"/>
      <c r="M277" s="82"/>
      <c r="N277" s="82"/>
      <c r="O277" s="82"/>
      <c r="P277" s="59"/>
      <c r="Q277" s="59"/>
      <c r="R277" s="5"/>
      <c r="S277" s="4"/>
      <c r="T277" s="4"/>
      <c r="U277" s="4"/>
    </row>
    <row r="278" spans="1:21" ht="13.5" collapsed="1" thickBot="1" x14ac:dyDescent="0.35">
      <c r="A278" s="96"/>
      <c r="B278" s="96"/>
      <c r="C278" s="128" t="s">
        <v>243</v>
      </c>
      <c r="D278" s="61"/>
      <c r="E278" s="61"/>
      <c r="F278" s="129"/>
      <c r="G278" s="129"/>
      <c r="H278" s="183"/>
      <c r="I278" s="183"/>
      <c r="J278" s="166">
        <f t="shared" si="125"/>
        <v>0</v>
      </c>
      <c r="K278" s="184"/>
      <c r="L278" s="82"/>
      <c r="M278" s="82"/>
      <c r="N278" s="82"/>
      <c r="O278" s="82"/>
      <c r="P278" s="59"/>
      <c r="Q278" s="59"/>
      <c r="R278" s="5"/>
      <c r="S278" s="4"/>
      <c r="T278" s="4"/>
      <c r="U278" s="4"/>
    </row>
    <row r="279" spans="1:21" x14ac:dyDescent="0.3">
      <c r="A279" s="96"/>
      <c r="B279" s="96"/>
      <c r="C279" s="106" t="s">
        <v>244</v>
      </c>
      <c r="D279" s="106"/>
      <c r="E279" s="106"/>
      <c r="F279" s="119"/>
      <c r="G279" s="119">
        <f>SUM(G275:G278)</f>
        <v>0</v>
      </c>
      <c r="H279" s="185">
        <f>SUM(H275:H278)</f>
        <v>0</v>
      </c>
      <c r="I279" s="185">
        <f>SUM(I275:I278)</f>
        <v>0</v>
      </c>
      <c r="J279" s="108">
        <f>SUM(J275:J278)</f>
        <v>0</v>
      </c>
      <c r="K279" s="186">
        <f>SUM(K275:K278)</f>
        <v>0</v>
      </c>
      <c r="L279" s="108"/>
      <c r="M279" s="108"/>
      <c r="N279" s="108"/>
      <c r="O279" s="108"/>
      <c r="P279" s="59"/>
      <c r="Q279" s="59"/>
      <c r="R279" s="109"/>
      <c r="S279" s="109"/>
      <c r="T279" s="109"/>
      <c r="U279" s="109"/>
    </row>
    <row r="280" spans="1:21" ht="15" customHeight="1" thickBot="1" x14ac:dyDescent="0.35">
      <c r="A280" s="96"/>
      <c r="B280" s="96"/>
      <c r="H280" s="2"/>
      <c r="I280" s="2"/>
      <c r="K280" s="156"/>
      <c r="P280" s="59"/>
      <c r="Q280" s="59"/>
    </row>
    <row r="281" spans="1:21" ht="13.5" collapsed="1" thickBot="1" x14ac:dyDescent="0.35">
      <c r="A281" s="96"/>
      <c r="B281" s="96"/>
      <c r="C281" s="106" t="s">
        <v>245</v>
      </c>
      <c r="D281" s="106"/>
      <c r="E281" s="106"/>
      <c r="F281" s="119"/>
      <c r="G281" s="119">
        <f t="shared" ref="G281:J281" si="126">+G275+G276+G277+G278-G273</f>
        <v>0</v>
      </c>
      <c r="H281" s="185">
        <f t="shared" ca="1" si="126"/>
        <v>-880512.03700904676</v>
      </c>
      <c r="I281" s="185">
        <f t="shared" si="126"/>
        <v>0</v>
      </c>
      <c r="J281" s="108">
        <f t="shared" si="126"/>
        <v>-8000000.3362502446</v>
      </c>
      <c r="K281" s="185">
        <f>+K275+K276+K277+K278-K273</f>
        <v>0</v>
      </c>
      <c r="L281" s="108"/>
      <c r="M281" s="108">
        <f t="shared" ref="M281" si="127">+M275+M276+M277+M278-M273</f>
        <v>-8000000.3362502446</v>
      </c>
      <c r="N281" s="108"/>
      <c r="O281" s="108"/>
      <c r="P281" s="59"/>
      <c r="Q281" s="59"/>
      <c r="R281" s="5"/>
      <c r="S281" s="4"/>
      <c r="T281" s="4"/>
      <c r="U281" s="4"/>
    </row>
    <row r="282" spans="1:21" ht="13.5" collapsed="1" thickBot="1" x14ac:dyDescent="0.35">
      <c r="A282" s="96"/>
      <c r="B282" s="96"/>
      <c r="C282" s="106" t="s">
        <v>246</v>
      </c>
      <c r="D282" s="106"/>
      <c r="E282" s="106"/>
      <c r="F282" s="119"/>
      <c r="G282" s="119"/>
      <c r="H282" s="185"/>
      <c r="I282" s="185"/>
      <c r="J282" s="162"/>
      <c r="K282" s="185">
        <f>(+J6-K6)*I273</f>
        <v>0</v>
      </c>
      <c r="L282" s="108"/>
      <c r="M282" s="108"/>
      <c r="N282" s="108"/>
      <c r="O282" s="108"/>
      <c r="P282" s="59"/>
      <c r="Q282" s="59"/>
      <c r="R282" s="5"/>
      <c r="S282" s="4"/>
      <c r="T282" s="4"/>
      <c r="U282" s="4"/>
    </row>
    <row r="285" spans="1:21" x14ac:dyDescent="0.3">
      <c r="G285" s="200" t="s">
        <v>247</v>
      </c>
      <c r="H285" s="200"/>
      <c r="I285" s="200"/>
      <c r="J285" s="199"/>
    </row>
    <row r="286" spans="1:21" x14ac:dyDescent="0.3">
      <c r="G286" s="200" t="s">
        <v>248</v>
      </c>
      <c r="H286" s="199">
        <f>H268</f>
        <v>57603.588785046777</v>
      </c>
      <c r="I286" s="200"/>
      <c r="J286" s="199">
        <f>J268</f>
        <v>523364.48598130886</v>
      </c>
    </row>
    <row r="287" spans="1:21" x14ac:dyDescent="0.3">
      <c r="G287" s="200" t="s">
        <v>249</v>
      </c>
      <c r="H287" s="199">
        <f>H175+H186+H199+H252+H253+H262+H269+H200</f>
        <v>174140.11700904675</v>
      </c>
      <c r="I287" s="220"/>
      <c r="J287" s="199">
        <f>J175+J186+J199+J252+J253+J262+J269+J200</f>
        <v>1582171.4367008903</v>
      </c>
      <c r="K287" s="219"/>
    </row>
    <row r="288" spans="1:21" x14ac:dyDescent="0.3">
      <c r="G288" s="200" t="s">
        <v>250</v>
      </c>
      <c r="H288" s="200">
        <f ca="1">H273-H287</f>
        <v>706371.92</v>
      </c>
      <c r="I288" s="217"/>
      <c r="J288" s="200">
        <f>J273-J287</f>
        <v>6417828.8995493539</v>
      </c>
    </row>
    <row r="289" spans="7:11" x14ac:dyDescent="0.3">
      <c r="G289" s="200" t="s">
        <v>251</v>
      </c>
      <c r="H289" s="199">
        <f ca="1">SUM(H287:H288)</f>
        <v>880512.03700904676</v>
      </c>
      <c r="I289" s="200"/>
      <c r="J289" s="199">
        <f>SUM(J287:J288)</f>
        <v>8000000.3362502437</v>
      </c>
      <c r="K289" s="218"/>
    </row>
    <row r="290" spans="7:11" x14ac:dyDescent="0.3">
      <c r="H290" s="223"/>
    </row>
    <row r="292" spans="7:11" x14ac:dyDescent="0.3">
      <c r="H292" s="224"/>
      <c r="J292" s="224"/>
    </row>
  </sheetData>
  <sheetProtection formatCells="0" formatRows="0" insertColumns="0" insertRows="0" deleteRows="0"/>
  <mergeCells count="1">
    <mergeCell ref="E8:F8"/>
  </mergeCells>
  <dataValidations count="1">
    <dataValidation type="list" errorStyle="warning" allowBlank="1" showErrorMessage="1" errorTitle="Activity Validation" error="Activity code should be in listed in master data" sqref="A199:A200 A186:B186 A203:B204 A215:B216 A189:B192 A236:B236 A243:B243" xr:uid="{E4470812-3A4C-40AA-AB9E-D55F5D05B9C6}">
      <formula1>MasterActivity</formula1>
    </dataValidation>
  </dataValidations>
  <hyperlinks>
    <hyperlink ref="H1" r:id="rId1" xr:uid="{98895B2A-9836-4024-A20D-7223CB0574E0}"/>
    <hyperlink ref="H3" r:id="rId2" xr:uid="{279848D9-368C-4E63-809F-B5DDAA359C51}"/>
    <hyperlink ref="H5" r:id="rId3" xr:uid="{CAF4101D-6B1F-4602-900D-562C7417D7FD}"/>
    <hyperlink ref="H4" r:id="rId4" xr:uid="{AD9AB04A-60B8-41D6-8930-83B5E506FB4A}"/>
  </hyperlinks>
  <pageMargins left="0.70866141732283472" right="0.70866141732283472" top="0.74803149606299213" bottom="0.74803149606299213" header="0.31496062992125984" footer="0.31496062992125984"/>
  <pageSetup paperSize="9" scale="57" fitToHeight="12" orientation="landscape" r:id="rId5"/>
  <drawing r:id="rId6"/>
  <legacy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421B4-D4C6-46DC-A95B-118976CC8972}">
  <dimension ref="A1:E10"/>
  <sheetViews>
    <sheetView workbookViewId="0">
      <selection activeCell="C31" sqref="C31"/>
    </sheetView>
  </sheetViews>
  <sheetFormatPr defaultRowHeight="14.5" x14ac:dyDescent="0.35"/>
  <cols>
    <col min="1" max="1" width="12.81640625" bestFit="1" customWidth="1"/>
    <col min="2" max="2" width="11.453125" bestFit="1" customWidth="1"/>
    <col min="3" max="3" width="31.453125" bestFit="1" customWidth="1"/>
    <col min="5" max="5" width="10.1796875" bestFit="1" customWidth="1"/>
  </cols>
  <sheetData>
    <row r="1" spans="1:5" x14ac:dyDescent="0.35">
      <c r="A1" s="146" t="s">
        <v>252</v>
      </c>
      <c r="B1" s="146" t="s">
        <v>253</v>
      </c>
      <c r="C1" s="146">
        <v>0.110064</v>
      </c>
    </row>
    <row r="2" spans="1:5" x14ac:dyDescent="0.35">
      <c r="A2" s="144">
        <v>8000000</v>
      </c>
      <c r="B2" s="144">
        <f>A2*$C$1</f>
        <v>880512</v>
      </c>
      <c r="C2" s="145" t="s">
        <v>251</v>
      </c>
    </row>
    <row r="3" spans="1:5" x14ac:dyDescent="0.35">
      <c r="A3" s="144">
        <f>8000000/1.07</f>
        <v>7476635.5140186911</v>
      </c>
      <c r="B3" s="144">
        <f t="shared" ref="B3:B5" si="0">A3*$C$1</f>
        <v>822908.41121495317</v>
      </c>
      <c r="C3" s="145" t="s">
        <v>254</v>
      </c>
      <c r="E3" s="168"/>
    </row>
    <row r="4" spans="1:5" x14ac:dyDescent="0.35">
      <c r="A4" s="144">
        <f>A2-A3</f>
        <v>523364.48598130886</v>
      </c>
      <c r="B4" s="144">
        <f t="shared" si="0"/>
        <v>57603.588785046777</v>
      </c>
      <c r="C4" s="145" t="s">
        <v>255</v>
      </c>
    </row>
    <row r="5" spans="1:5" x14ac:dyDescent="0.35">
      <c r="A5" s="144">
        <v>1058812</v>
      </c>
      <c r="B5" s="144">
        <f t="shared" si="0"/>
        <v>116537.08396799999</v>
      </c>
      <c r="C5" s="145" t="s">
        <v>256</v>
      </c>
    </row>
    <row r="6" spans="1:5" x14ac:dyDescent="0.35">
      <c r="A6" s="144">
        <f>A4-A8</f>
        <v>9938.6048598135239</v>
      </c>
      <c r="B6" s="144">
        <f>B4-B8</f>
        <v>1093.8826052905206</v>
      </c>
      <c r="C6" s="145" t="s">
        <v>257</v>
      </c>
    </row>
    <row r="7" spans="1:5" x14ac:dyDescent="0.35">
      <c r="A7" s="144">
        <f>A3-A5</f>
        <v>6417823.5140186911</v>
      </c>
      <c r="B7" s="144">
        <f>B3-B5</f>
        <v>706371.32724695315</v>
      </c>
      <c r="C7" s="145" t="s">
        <v>258</v>
      </c>
    </row>
    <row r="8" spans="1:5" x14ac:dyDescent="0.35">
      <c r="A8" s="144">
        <f>0.08*A7</f>
        <v>513425.88112149533</v>
      </c>
      <c r="B8" s="144">
        <f>0.08*B7</f>
        <v>56509.706179756256</v>
      </c>
      <c r="C8" s="145" t="s">
        <v>259</v>
      </c>
    </row>
    <row r="10" spans="1:5" x14ac:dyDescent="0.35">
      <c r="A10" s="168">
        <f>A5+A4+A7</f>
        <v>8000000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GOOnlineKeywordsTaxHTField0 xmlns="070dc00d-76f0-422c-9cca-666da5b65671">
      <Terms xmlns="http://schemas.microsoft.com/office/infopath/2007/PartnerControls"/>
    </NGOOnlineKeywordsTaxHTField0>
    <TaxCatchAll xmlns="070dc00d-76f0-422c-9cca-666da5b65671" xsi:nil="true"/>
    <FavoriteUsers xmlns="070dc00d-76f0-422c-9cca-666da5b65671" xsi:nil="true"/>
    <KeyEntities xmlns="070dc00d-76f0-422c-9cca-666da5b65671" xsi:nil="true"/>
    <NGOOnlineDocumentTypeTaxHTField0 xmlns="070dc00d-76f0-422c-9cca-666da5b65671">
      <Terms xmlns="http://schemas.microsoft.com/office/infopath/2007/PartnerControls"/>
    </NGOOnlineDocumentTypeTaxHTField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NGOOnlineDocument" ma:contentTypeID="0x01010057465642FE594624BC7EE9B94C9BA14E004FC47629BFC9DB4AB801B65E8A5D6EF2" ma:contentTypeVersion="15" ma:contentTypeDescription="" ma:contentTypeScope="" ma:versionID="d99c6402e87a07298e1707175f33cfe3">
  <xsd:schema xmlns:xsd="http://www.w3.org/2001/XMLSchema" xmlns:xs="http://www.w3.org/2001/XMLSchema" xmlns:p="http://schemas.microsoft.com/office/2006/metadata/properties" xmlns:ns1="070dc00d-76f0-422c-9cca-666da5b65671" xmlns:ns2="34424beb-c8f5-420b-8225-ceeafa91cb90" targetNamespace="http://schemas.microsoft.com/office/2006/metadata/properties" ma:root="true" ma:fieldsID="558e205b165e6c2d0619889150c50319" ns1:_="" ns2:_="">
    <xsd:import namespace="070dc00d-76f0-422c-9cca-666da5b65671"/>
    <xsd:import namespace="34424beb-c8f5-420b-8225-ceeafa91cb90"/>
    <xsd:element name="properties">
      <xsd:complexType>
        <xsd:sequence>
          <xsd:element name="documentManagement">
            <xsd:complexType>
              <xsd:all>
                <xsd:element ref="ns1:FavoriteUsers" minOccurs="0"/>
                <xsd:element ref="ns1:KeyEntities" minOccurs="0"/>
                <xsd:element ref="ns1:NGOOnlineDocumentTypeTaxHTField0" minOccurs="0"/>
                <xsd:element ref="ns1:NGOOnlineKeywordsTaxHTField0" minOccurs="0"/>
                <xsd:element ref="ns1:TaxCatchAll" minOccurs="0"/>
                <xsd:element ref="ns1:TaxCatchAllLabel" minOccurs="0"/>
                <xsd:element ref="ns1:SharedWithUsers" minOccurs="0"/>
                <xsd:element ref="ns1:SharedWithDetails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0dc00d-76f0-422c-9cca-666da5b65671" elementFormDefault="qualified">
    <xsd:import namespace="http://schemas.microsoft.com/office/2006/documentManagement/types"/>
    <xsd:import namespace="http://schemas.microsoft.com/office/infopath/2007/PartnerControls"/>
    <xsd:element name="FavoriteUsers" ma:index="0" nillable="true" ma:displayName="F" ma:description="Store all users who mark this document as favorite" ma:hidden="true" ma:internalName="FavoriteUsers">
      <xsd:simpleType>
        <xsd:restriction base="dms:Text"/>
      </xsd:simpleType>
    </xsd:element>
    <xsd:element name="KeyEntities" ma:index="1" nillable="true" ma:displayName="K" ma:description="Store all entities which this document as a key" ma:hidden="true" ma:internalName="KeyEntities">
      <xsd:simpleType>
        <xsd:restriction base="dms:Text"/>
      </xsd:simpleType>
    </xsd:element>
    <xsd:element name="NGOOnlineDocumentTypeTaxHTField0" ma:index="2" nillable="true" ma:taxonomy="true" ma:internalName="NGOOnlineDocumentTypeTaxHTField0" ma:taxonomyFieldName="NGOOnlineDocumentType" ma:displayName="Document types" ma:default="" ma:fieldId="{29f2da93-fcc7-4e86-9d07-0fd34a0597c4}" ma:taxonomyMulti="true" ma:sspId="5b242e9b-2841-42ae-884b-548b5f8b78b8" ma:termSetId="91ba4731-2686-4188-ba59-bfc8809ca4b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GOOnlineKeywordsTaxHTField0" ma:index="4" nillable="true" ma:taxonomy="true" ma:internalName="NGOOnlineKeywordsTaxHTField0" ma:taxonomyFieldName="NGOOnlineKeywords" ma:displayName="Keywords" ma:default="" ma:fieldId="{cc92bdb0-fa94-4447-acf3-09642a11bf0d}" ma:taxonomyMulti="true" ma:sspId="5b242e9b-2841-42ae-884b-548b5f8b78b8" ma:termSetId="f8316891-61d9-44d0-839c-00d95f693766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6" nillable="true" ma:displayName="Taxonomy Catch All Column" ma:description="" ma:hidden="true" ma:list="{60fbe044-1408-43ca-afcd-c4b03cad8321}" ma:internalName="TaxCatchAll" ma:showField="CatchAllData" ma:web="070dc00d-76f0-422c-9cca-666da5b656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7" nillable="true" ma:displayName="Taxonomy Catch All Column1" ma:description="" ma:hidden="true" ma:list="{60fbe044-1408-43ca-afcd-c4b03cad8321}" ma:internalName="TaxCatchAllLabel" ma:readOnly="true" ma:showField="CatchAllDataLabel" ma:web="070dc00d-76f0-422c-9cca-666da5b656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424beb-c8f5-420b-8225-ceeafa91cb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1E324F-29F9-4DD5-88D7-9FBD405BAE64}">
  <ds:schemaRefs>
    <ds:schemaRef ds:uri="http://schemas.microsoft.com/office/2006/metadata/properties"/>
    <ds:schemaRef ds:uri="http://schemas.microsoft.com/office/infopath/2007/PartnerControls"/>
    <ds:schemaRef ds:uri="070dc00d-76f0-422c-9cca-666da5b65671"/>
  </ds:schemaRefs>
</ds:datastoreItem>
</file>

<file path=customXml/itemProps2.xml><?xml version="1.0" encoding="utf-8"?>
<ds:datastoreItem xmlns:ds="http://schemas.openxmlformats.org/officeDocument/2006/customXml" ds:itemID="{9B464197-891C-4584-85EB-95B465ABC5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0dc00d-76f0-422c-9cca-666da5b65671"/>
    <ds:schemaRef ds:uri="34424beb-c8f5-420b-8225-ceeafa91cb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2</vt:i4>
      </vt:variant>
    </vt:vector>
  </HeadingPairs>
  <TitlesOfParts>
    <vt:vector size="5" baseType="lpstr">
      <vt:lpstr>2022</vt:lpstr>
      <vt:lpstr>Consolidated budget 1</vt:lpstr>
      <vt:lpstr>Budget division</vt:lpstr>
      <vt:lpstr>'2022'!Utskriftsområde</vt:lpstr>
      <vt:lpstr>'Consolidated budget 1'!Utskriftsområde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 Sandstedt</dc:creator>
  <cp:keywords/>
  <dc:description/>
  <cp:lastModifiedBy>Melanie Rideout</cp:lastModifiedBy>
  <cp:revision/>
  <cp:lastPrinted>2022-04-06T14:19:21Z</cp:lastPrinted>
  <dcterms:created xsi:type="dcterms:W3CDTF">2021-03-23T14:23:41Z</dcterms:created>
  <dcterms:modified xsi:type="dcterms:W3CDTF">2023-08-25T14:56:14Z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0x01010057465642FE594624BC7EE9B94C9BA14E004FC47629BFC9DB4AB801B65E8A5D6EF2</vt:lpwstr>
  </property>
  <property fmtid="{D5CDD505-2E9C-101B-9397-08002B2CF9AE}" pid="3" name="NGOOnlineKeywords">
    <vt:lpwstr/>
  </property>
  <property fmtid="{D5CDD505-2E9C-101B-9397-08002B2CF9AE}" pid="4" name="NGOOnlineDocumentType">
    <vt:lpwstr/>
  </property>
</Properties>
</file>